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1490" yWindow="1500" windowWidth="13815" windowHeight="12240" tabRatio="867" activeTab="1"/>
  </bookViews>
  <sheets>
    <sheet name="작성요령" sheetId="61" r:id="rId1"/>
    <sheet name="참여업체" sheetId="19" r:id="rId2"/>
    <sheet name="배점기준" sheetId="18" r:id="rId3"/>
    <sheet name="기술자" sheetId="7" r:id="rId4"/>
    <sheet name="종합" sheetId="132" r:id="rId5"/>
    <sheet name="사업책임기술자(000)" sheetId="151" r:id="rId6"/>
    <sheet name="도시계획책임(000)" sheetId="152" r:id="rId7"/>
    <sheet name="토질지질책임(000)" sheetId="164" r:id="rId8"/>
    <sheet name="도로공항책임(000)" sheetId="166" r:id="rId9"/>
    <sheet name="토목구조책임(000)" sheetId="170" r:id="rId10"/>
    <sheet name="상하수도분책(000)" sheetId="165" r:id="rId11"/>
    <sheet name="도시계획참여(000)" sheetId="156" r:id="rId12"/>
    <sheet name="토질지질참여(000)" sheetId="167" r:id="rId13"/>
    <sheet name="도로공항참여(000)" sheetId="157" r:id="rId14"/>
    <sheet name="토목구조참여(000)" sheetId="168" r:id="rId15"/>
    <sheet name="상하수도참여(000)" sheetId="163" r:id="rId16"/>
    <sheet name="교육훈련" sheetId="124" r:id="rId17"/>
    <sheet name="전차용역(기술자)" sheetId="125" r:id="rId18"/>
    <sheet name="유사용역" sheetId="9" r:id="rId19"/>
    <sheet name="유사(000)" sheetId="95" r:id="rId20"/>
    <sheet name="유사(0001)" sheetId="148" r:id="rId21"/>
    <sheet name="유사(0002)" sheetId="162" r:id="rId22"/>
    <sheet name="전차용역" sheetId="81" r:id="rId23"/>
    <sheet name="신용도" sheetId="31" r:id="rId24"/>
    <sheet name="부실벌점" sheetId="122" r:id="rId25"/>
    <sheet name="기술투자" sheetId="32" r:id="rId26"/>
    <sheet name="개발(000)" sheetId="171" r:id="rId27"/>
    <sheet name="개발(0001)" sheetId="149" r:id="rId28"/>
    <sheet name="개발(0002)" sheetId="55" r:id="rId29"/>
    <sheet name="활용(000)" sheetId="172" r:id="rId30"/>
    <sheet name="활용(0001)" sheetId="150" r:id="rId31"/>
    <sheet name="활용(0002)" sheetId="56" r:id="rId32"/>
    <sheet name="중복도" sheetId="129" r:id="rId33"/>
    <sheet name="중복신고" sheetId="97" r:id="rId34"/>
    <sheet name="가감점" sheetId="36" r:id="rId35"/>
    <sheet name="Sheet1" sheetId="130" r:id="rId36"/>
  </sheets>
  <externalReferences>
    <externalReference r:id="rId37"/>
    <externalReference r:id="rId38"/>
  </externalReferences>
  <definedNames>
    <definedName name="_xlnm._FilterDatabase" localSheetId="18" hidden="1">유사용역!$C$3:$H$6</definedName>
    <definedName name="_xlnm.Print_Area" localSheetId="34">가감점!$A$1:$F$7</definedName>
    <definedName name="_xlnm.Print_Area" localSheetId="26">'개발(000)'!$A$1:$K$16</definedName>
    <definedName name="_xlnm.Print_Area" localSheetId="27">'개발(0001)'!$A$1:$J$14</definedName>
    <definedName name="_xlnm.Print_Area" localSheetId="28">'개발(0002)'!$A$1:$J$14</definedName>
    <definedName name="_xlnm.Print_Area" localSheetId="16">교육훈련!$A$1:$G$16</definedName>
    <definedName name="_xlnm.Print_Area" localSheetId="3">기술자!$A$1:$J$37</definedName>
    <definedName name="_xlnm.Print_Area" localSheetId="25">기술투자!$A$1:$O$29</definedName>
    <definedName name="_xlnm.Print_Area" localSheetId="13">'도로공항참여(000)'!$A$1:$Q$8</definedName>
    <definedName name="_xlnm.Print_Area" localSheetId="8">'도로공항책임(000)'!$A$1:$Q$8</definedName>
    <definedName name="_xlnm.Print_Area" localSheetId="11">'도시계획참여(000)'!$A$1:$Q$12</definedName>
    <definedName name="_xlnm.Print_Area" localSheetId="6">'도시계획책임(000)'!$A$1:$Q$9</definedName>
    <definedName name="_xlnm.Print_Area" localSheetId="2">배점기준!$A$1:$I$109</definedName>
    <definedName name="_xlnm.Print_Area" localSheetId="24">부실벌점!$A$1:$G$22</definedName>
    <definedName name="_xlnm.Print_Area" localSheetId="5">'사업책임기술자(000)'!$A$1:$Q$35</definedName>
    <definedName name="_xlnm.Print_Area" localSheetId="23">신용도!$A$1:$L$16</definedName>
    <definedName name="_xlnm.Print_Area" localSheetId="19">'유사(000)'!$A$1:$N$10</definedName>
    <definedName name="_xlnm.Print_Area" localSheetId="20">'유사(0001)'!$A$1:$N$8</definedName>
    <definedName name="_xlnm.Print_Area" localSheetId="21">'유사(0002)'!$A$1:$N$10</definedName>
    <definedName name="_xlnm.Print_Area" localSheetId="18">유사용역!$A$1:$H$12</definedName>
    <definedName name="_xlnm.Print_Area" localSheetId="22">전차용역!$B$1:$E$10</definedName>
    <definedName name="_xlnm.Print_Area" localSheetId="17">'전차용역(기술자)'!$A$1:$H$10</definedName>
    <definedName name="_xlnm.Print_Area" localSheetId="4">종합!$A$1:$I$31</definedName>
    <definedName name="_xlnm.Print_Area" localSheetId="32">중복도!$A$1:$J$13</definedName>
    <definedName name="_xlnm.Print_Area" localSheetId="33">중복신고!$A$1:$L$53</definedName>
    <definedName name="_xlnm.Print_Area" localSheetId="1">참여업체!$B$1:$G$7</definedName>
    <definedName name="_xlnm.Print_Area" localSheetId="14">'토목구조참여(000)'!$A$1:$Q$8</definedName>
    <definedName name="_xlnm.Print_Area" localSheetId="9">'토목구조책임(000)'!$A$1:$Q$14</definedName>
    <definedName name="_xlnm.Print_Area" localSheetId="12">'토질지질참여(000)'!$A$1:$Q$8</definedName>
    <definedName name="_xlnm.Print_Area" localSheetId="29">'활용(000)'!$A$1:$K$10</definedName>
    <definedName name="_xlnm.Print_Area" localSheetId="30">'활용(0001)'!$A$1:$K$14</definedName>
    <definedName name="_xlnm.Print_Area" localSheetId="31">'활용(0002)'!$A$1:$K$16</definedName>
    <definedName name="_xlnm.Print_Titles" localSheetId="27">'개발(0001)'!$2:$2</definedName>
    <definedName name="_xlnm.Print_Titles" localSheetId="28">'개발(0002)'!$2:$2</definedName>
    <definedName name="_xlnm.Print_Titles" localSheetId="16">교육훈련!$3:$3</definedName>
    <definedName name="_xlnm.Print_Titles" localSheetId="13">'도로공항참여(000)'!$1:$5</definedName>
    <definedName name="_xlnm.Print_Titles" localSheetId="11">'도시계획참여(000)'!$1:$1</definedName>
    <definedName name="_xlnm.Print_Titles" localSheetId="6">'도시계획책임(000)'!$1:$6</definedName>
    <definedName name="_xlnm.Print_Titles" localSheetId="19">'유사(000)'!$2:$3</definedName>
    <definedName name="_xlnm.Print_Titles" localSheetId="20">'유사(0001)'!$2:$3</definedName>
    <definedName name="_xlnm.Print_Titles" localSheetId="21">'유사(0002)'!$2:$3</definedName>
    <definedName name="_xlnm.Print_Titles" localSheetId="14">'토목구조참여(000)'!$1:$5</definedName>
    <definedName name="_xlnm.Print_Titles" localSheetId="12">'토질지질참여(000)'!$1:$1</definedName>
    <definedName name="_xlnm.Print_Titles" localSheetId="29">'활용(000)'!$2:$2</definedName>
    <definedName name="_xlnm.Print_Titles" localSheetId="30">'활용(0001)'!$2:$2</definedName>
    <definedName name="_xlnm.Print_Titles" localSheetId="31">'활용(0002)'!$2:$2</definedName>
    <definedName name="기준">신용도!$P$38</definedName>
    <definedName name="회사채">신용도!$C$21:$C$39</definedName>
  </definedNames>
  <calcPr calcId="125725"/>
</workbook>
</file>

<file path=xl/calcChain.xml><?xml version="1.0" encoding="utf-8"?>
<calcChain xmlns="http://schemas.openxmlformats.org/spreadsheetml/2006/main">
  <c r="G7" i="9"/>
  <c r="F4"/>
  <c r="J7" i="148"/>
  <c r="J6"/>
  <c r="J5"/>
  <c r="J4"/>
  <c r="J9" i="95"/>
  <c r="J8"/>
  <c r="J7"/>
  <c r="J6"/>
  <c r="J5"/>
  <c r="J4"/>
  <c r="H51" i="97"/>
  <c r="H44"/>
  <c r="H43"/>
  <c r="H35"/>
  <c r="H34"/>
  <c r="H33"/>
  <c r="H32"/>
  <c r="H25"/>
  <c r="H24"/>
  <c r="H23"/>
  <c r="H22"/>
  <c r="H17"/>
  <c r="H16"/>
  <c r="H8"/>
  <c r="H7"/>
  <c r="H50"/>
  <c r="O6" i="163"/>
  <c r="P6"/>
  <c r="P6" i="168"/>
  <c r="P6" i="157"/>
  <c r="P6" i="167"/>
  <c r="P10" i="156"/>
  <c r="P9"/>
  <c r="P8"/>
  <c r="P7"/>
  <c r="P6"/>
  <c r="P7" i="165"/>
  <c r="P6"/>
  <c r="O7"/>
  <c r="O6"/>
  <c r="O12" i="170"/>
  <c r="O6" i="166"/>
  <c r="P6" s="1"/>
  <c r="O6" i="164"/>
  <c r="P6" s="1"/>
  <c r="M12" i="170"/>
  <c r="K12"/>
  <c r="H12"/>
  <c r="P7" i="152"/>
  <c r="P6" i="151"/>
  <c r="B4" i="132"/>
  <c r="B3"/>
  <c r="F5" i="36"/>
  <c r="I27" i="132"/>
  <c r="I26"/>
  <c r="I25"/>
  <c r="I24"/>
  <c r="I23"/>
  <c r="I22"/>
  <c r="I19"/>
  <c r="I18"/>
  <c r="I15"/>
  <c r="I14"/>
  <c r="I13"/>
  <c r="I12"/>
  <c r="I11"/>
  <c r="I10"/>
  <c r="I9"/>
  <c r="I8"/>
  <c r="I7"/>
  <c r="J6" i="55"/>
  <c r="J5"/>
  <c r="H5"/>
  <c r="P12" i="170" l="1"/>
  <c r="C6" i="9"/>
  <c r="C9" s="1"/>
  <c r="C5"/>
  <c r="C8" s="1"/>
  <c r="C4"/>
  <c r="C7" s="1"/>
  <c r="B8" i="31"/>
  <c r="B7" i="122" s="1"/>
  <c r="B8" i="32" s="1"/>
  <c r="B7" i="31"/>
  <c r="B7" i="129" s="1"/>
  <c r="B6" i="36" s="1"/>
  <c r="B6" i="31"/>
  <c r="B6" i="129" s="1"/>
  <c r="B5" i="36" s="1"/>
  <c r="H68" i="18"/>
  <c r="N6" i="167"/>
  <c r="M6"/>
  <c r="K6"/>
  <c r="H6"/>
  <c r="N6" i="166"/>
  <c r="K6"/>
  <c r="H6"/>
  <c r="A7" i="15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M6"/>
  <c r="N6" s="1"/>
  <c r="K6"/>
  <c r="H6"/>
  <c r="H6" i="170"/>
  <c r="P13"/>
  <c r="E9" i="9"/>
  <c r="E8"/>
  <c r="E7"/>
  <c r="E4"/>
  <c r="E5"/>
  <c r="E6"/>
  <c r="I28" i="32"/>
  <c r="I27"/>
  <c r="I26"/>
  <c r="N6"/>
  <c r="N7"/>
  <c r="N8"/>
  <c r="H7" i="149"/>
  <c r="I7" i="172"/>
  <c r="H7"/>
  <c r="J7" s="1"/>
  <c r="H4"/>
  <c r="J4" s="1"/>
  <c r="I4"/>
  <c r="H5"/>
  <c r="I5"/>
  <c r="H3"/>
  <c r="J3" s="1"/>
  <c r="I3"/>
  <c r="J10"/>
  <c r="G26" i="32" s="1"/>
  <c r="H4" i="150"/>
  <c r="H5"/>
  <c r="H6"/>
  <c r="H7"/>
  <c r="H8"/>
  <c r="H9"/>
  <c r="H3"/>
  <c r="F36" i="97"/>
  <c r="F37"/>
  <c r="F51"/>
  <c r="F50"/>
  <c r="F43"/>
  <c r="F44"/>
  <c r="F35"/>
  <c r="H9"/>
  <c r="D6" i="129" s="1"/>
  <c r="D7" s="1"/>
  <c r="D8" s="1"/>
  <c r="G28" i="132" s="1"/>
  <c r="I28" s="1"/>
  <c r="F33" i="97"/>
  <c r="F34"/>
  <c r="F32"/>
  <c r="F23"/>
  <c r="F24"/>
  <c r="F25"/>
  <c r="F22"/>
  <c r="F8"/>
  <c r="F7"/>
  <c r="C7" i="36"/>
  <c r="C6"/>
  <c r="C5"/>
  <c r="J16" i="171"/>
  <c r="J6" i="32" s="1"/>
  <c r="J14" i="171"/>
  <c r="K6" i="32" s="1"/>
  <c r="J7" i="171"/>
  <c r="J8"/>
  <c r="H8"/>
  <c r="H7"/>
  <c r="J6"/>
  <c r="G6" i="32" s="1"/>
  <c r="J4" i="171"/>
  <c r="C6" i="32" s="1"/>
  <c r="A1" i="171"/>
  <c r="H13" i="32"/>
  <c r="F16"/>
  <c r="G16" s="1"/>
  <c r="F17"/>
  <c r="F18"/>
  <c r="F21"/>
  <c r="F20"/>
  <c r="F19"/>
  <c r="H14" i="31"/>
  <c r="G14"/>
  <c r="F14"/>
  <c r="I7"/>
  <c r="I6"/>
  <c r="L5" i="148"/>
  <c r="M5" s="1"/>
  <c r="L6"/>
  <c r="M6" s="1"/>
  <c r="K7"/>
  <c r="L4"/>
  <c r="M4" s="1"/>
  <c r="H5" i="95"/>
  <c r="L5"/>
  <c r="M5" s="1"/>
  <c r="H6"/>
  <c r="H7"/>
  <c r="K7"/>
  <c r="H8"/>
  <c r="L8"/>
  <c r="M8" s="1"/>
  <c r="L9"/>
  <c r="M9" s="1"/>
  <c r="H4"/>
  <c r="K9"/>
  <c r="A5"/>
  <c r="A6" s="1"/>
  <c r="A7" s="1"/>
  <c r="A8" s="1"/>
  <c r="A9" s="1"/>
  <c r="H6" i="168"/>
  <c r="K6"/>
  <c r="M6"/>
  <c r="N6" s="1"/>
  <c r="H6" i="157"/>
  <c r="K6"/>
  <c r="M6"/>
  <c r="N6" s="1"/>
  <c r="N6" i="165"/>
  <c r="K6"/>
  <c r="H6"/>
  <c r="N7"/>
  <c r="K7"/>
  <c r="H7"/>
  <c r="N6" i="164"/>
  <c r="K6"/>
  <c r="H6"/>
  <c r="M6" i="163"/>
  <c r="N6" s="1"/>
  <c r="K6"/>
  <c r="H6"/>
  <c r="M7" i="152"/>
  <c r="N7" s="1"/>
  <c r="C1" i="162"/>
  <c r="H9"/>
  <c r="J9" s="1"/>
  <c r="L9" s="1"/>
  <c r="M9" s="1"/>
  <c r="J8"/>
  <c r="L8" s="1"/>
  <c r="M8" s="1"/>
  <c r="J7"/>
  <c r="L7" s="1"/>
  <c r="M7" s="1"/>
  <c r="J6"/>
  <c r="L6" s="1"/>
  <c r="M6" s="1"/>
  <c r="K5"/>
  <c r="J5"/>
  <c r="L5" s="1"/>
  <c r="M5" s="1"/>
  <c r="J4"/>
  <c r="L4" s="1"/>
  <c r="M4" s="1"/>
  <c r="M7" i="156"/>
  <c r="N7" s="1"/>
  <c r="K7"/>
  <c r="H7"/>
  <c r="M9"/>
  <c r="N9"/>
  <c r="K9"/>
  <c r="H9"/>
  <c r="N10"/>
  <c r="K10"/>
  <c r="H10"/>
  <c r="N8"/>
  <c r="K8"/>
  <c r="H8"/>
  <c r="M6"/>
  <c r="N6" s="1"/>
  <c r="K6"/>
  <c r="H6"/>
  <c r="K7" i="152"/>
  <c r="H7"/>
  <c r="I9" i="150"/>
  <c r="I8"/>
  <c r="I7"/>
  <c r="J7" s="1"/>
  <c r="I6"/>
  <c r="J6" s="1"/>
  <c r="I5"/>
  <c r="I4"/>
  <c r="I3"/>
  <c r="J3" s="1"/>
  <c r="J7" i="149"/>
  <c r="J8" s="1"/>
  <c r="F7" i="32" s="1"/>
  <c r="J3" i="149"/>
  <c r="H3"/>
  <c r="H3" i="55"/>
  <c r="C1" i="148"/>
  <c r="J14" i="150"/>
  <c r="G27" i="32" s="1"/>
  <c r="J14" i="149"/>
  <c r="J7" i="32" s="1"/>
  <c r="J12" i="149"/>
  <c r="K7" i="32" s="1"/>
  <c r="J10" i="149"/>
  <c r="E7" i="32" s="1"/>
  <c r="J6" i="149"/>
  <c r="G7" i="32" s="1"/>
  <c r="J4" i="149"/>
  <c r="C7" i="32" s="1"/>
  <c r="J12" i="150"/>
  <c r="E27" i="32" s="1"/>
  <c r="I6" i="56"/>
  <c r="H6"/>
  <c r="F17" i="97"/>
  <c r="F16"/>
  <c r="I5" i="129"/>
  <c r="H5"/>
  <c r="G5"/>
  <c r="F5"/>
  <c r="E5"/>
  <c r="C1" i="95"/>
  <c r="F29" i="132"/>
  <c r="F28"/>
  <c r="F27"/>
  <c r="F26"/>
  <c r="F25"/>
  <c r="F24"/>
  <c r="F23"/>
  <c r="F22"/>
  <c r="F21"/>
  <c r="F20"/>
  <c r="F19"/>
  <c r="F18"/>
  <c r="F17"/>
  <c r="F16"/>
  <c r="F14"/>
  <c r="C12" s="1"/>
  <c r="F13"/>
  <c r="F9"/>
  <c r="F8"/>
  <c r="F7"/>
  <c r="C7" s="1"/>
  <c r="D11" i="129"/>
  <c r="E11" s="1"/>
  <c r="D12"/>
  <c r="G12" s="1"/>
  <c r="H3" i="56"/>
  <c r="I3"/>
  <c r="H4"/>
  <c r="I4"/>
  <c r="H5"/>
  <c r="I5"/>
  <c r="H7"/>
  <c r="I7"/>
  <c r="H8"/>
  <c r="I8"/>
  <c r="H9"/>
  <c r="I9"/>
  <c r="H10"/>
  <c r="I10"/>
  <c r="H11"/>
  <c r="I11"/>
  <c r="J14"/>
  <c r="E28" i="32" s="1"/>
  <c r="J16" i="56"/>
  <c r="G28" i="32" s="1"/>
  <c r="J3" i="55"/>
  <c r="J4" s="1"/>
  <c r="C8" i="32" s="1"/>
  <c r="G8"/>
  <c r="H7" i="55"/>
  <c r="J7"/>
  <c r="J10"/>
  <c r="E8" i="32" s="1"/>
  <c r="J12" i="55"/>
  <c r="K8" i="32" s="1"/>
  <c r="J14" i="55"/>
  <c r="J8" i="32" s="1"/>
  <c r="F13"/>
  <c r="F14"/>
  <c r="F15"/>
  <c r="F5" i="122"/>
  <c r="J6" i="31" s="1"/>
  <c r="F7" i="122"/>
  <c r="J8" i="31" s="1"/>
  <c r="F11" i="122"/>
  <c r="F12"/>
  <c r="F13"/>
  <c r="F14"/>
  <c r="F15"/>
  <c r="F16"/>
  <c r="F17"/>
  <c r="F18"/>
  <c r="F19"/>
  <c r="F20"/>
  <c r="F21"/>
  <c r="E6" i="31"/>
  <c r="G6" s="1"/>
  <c r="F6"/>
  <c r="B15"/>
  <c r="E8"/>
  <c r="F8"/>
  <c r="I8"/>
  <c r="F13"/>
  <c r="G13"/>
  <c r="I13" s="1"/>
  <c r="H13"/>
  <c r="F15"/>
  <c r="G15"/>
  <c r="H15"/>
  <c r="I15" s="1"/>
  <c r="F11" i="9"/>
  <c r="G22" i="132" s="1"/>
  <c r="G6" i="7"/>
  <c r="G7"/>
  <c r="H36"/>
  <c r="G19" i="132" s="1"/>
  <c r="E3" i="18"/>
  <c r="F34" i="7" s="1"/>
  <c r="G18" i="132" s="1"/>
  <c r="G5" i="18"/>
  <c r="G7" s="1"/>
  <c r="G9" s="1"/>
  <c r="D9"/>
  <c r="I9"/>
  <c r="G8" s="1"/>
  <c r="E12"/>
  <c r="G5" i="7" s="1"/>
  <c r="G7" i="132" s="1"/>
  <c r="F12" i="18"/>
  <c r="G12"/>
  <c r="E14"/>
  <c r="F14"/>
  <c r="G14"/>
  <c r="H14"/>
  <c r="I14"/>
  <c r="E16"/>
  <c r="F16"/>
  <c r="G16"/>
  <c r="H16"/>
  <c r="I16"/>
  <c r="E18"/>
  <c r="E22" s="1"/>
  <c r="H11" i="7" s="1"/>
  <c r="E19" i="18"/>
  <c r="E11" i="7" s="1"/>
  <c r="F18" i="18"/>
  <c r="F20" s="1"/>
  <c r="G18"/>
  <c r="G22" s="1"/>
  <c r="D19"/>
  <c r="D39" s="1"/>
  <c r="D20"/>
  <c r="D27" s="1"/>
  <c r="E20"/>
  <c r="F11" i="7"/>
  <c r="D21" i="18"/>
  <c r="D28" s="1"/>
  <c r="D22"/>
  <c r="D49" s="1"/>
  <c r="H8" i="7"/>
  <c r="H21" s="1"/>
  <c r="D23" i="18"/>
  <c r="D50" s="1"/>
  <c r="E23"/>
  <c r="I11" i="7" s="1"/>
  <c r="E25" i="18"/>
  <c r="E28" s="1"/>
  <c r="G14" i="7" s="1"/>
  <c r="F25" i="18"/>
  <c r="F29" s="1"/>
  <c r="G25"/>
  <c r="G27" s="1"/>
  <c r="G26"/>
  <c r="E32"/>
  <c r="F19" i="7" s="1"/>
  <c r="F32" i="18"/>
  <c r="G32"/>
  <c r="H32"/>
  <c r="I32"/>
  <c r="E34"/>
  <c r="F34"/>
  <c r="G34"/>
  <c r="H34"/>
  <c r="I34"/>
  <c r="E38"/>
  <c r="E41" s="1"/>
  <c r="G23" i="7" s="1"/>
  <c r="F38" i="18"/>
  <c r="F39" s="1"/>
  <c r="G38"/>
  <c r="G41" s="1"/>
  <c r="H38"/>
  <c r="H43" s="1"/>
  <c r="I38"/>
  <c r="I43" s="1"/>
  <c r="D40"/>
  <c r="E45"/>
  <c r="E49"/>
  <c r="F45"/>
  <c r="F50" s="1"/>
  <c r="G45"/>
  <c r="G49"/>
  <c r="H45"/>
  <c r="H50" s="1"/>
  <c r="I45"/>
  <c r="I47"/>
  <c r="D46"/>
  <c r="E52"/>
  <c r="E54" s="1"/>
  <c r="F27" i="7" s="1"/>
  <c r="F52" i="18"/>
  <c r="F53" s="1"/>
  <c r="F56"/>
  <c r="G52"/>
  <c r="G57" s="1"/>
  <c r="H52"/>
  <c r="H53" s="1"/>
  <c r="I52"/>
  <c r="I54" s="1"/>
  <c r="G53"/>
  <c r="G56"/>
  <c r="E59"/>
  <c r="E63" s="1"/>
  <c r="F59"/>
  <c r="G59"/>
  <c r="G61" s="1"/>
  <c r="H59"/>
  <c r="H63" s="1"/>
  <c r="I59"/>
  <c r="I62" s="1"/>
  <c r="F60"/>
  <c r="E68"/>
  <c r="F68"/>
  <c r="G68"/>
  <c r="D72"/>
  <c r="E72"/>
  <c r="F72"/>
  <c r="G72"/>
  <c r="H72"/>
  <c r="I72"/>
  <c r="F76"/>
  <c r="F78"/>
  <c r="E84"/>
  <c r="F84"/>
  <c r="G84"/>
  <c r="H84"/>
  <c r="E91"/>
  <c r="F91"/>
  <c r="G91"/>
  <c r="H91"/>
  <c r="I91"/>
  <c r="E101"/>
  <c r="E102"/>
  <c r="E103"/>
  <c r="E104"/>
  <c r="E105"/>
  <c r="E106"/>
  <c r="C109"/>
  <c r="F12" i="129"/>
  <c r="H41" i="18"/>
  <c r="H42"/>
  <c r="D47"/>
  <c r="D41"/>
  <c r="H12" i="129"/>
  <c r="G30" i="132"/>
  <c r="I30" s="1"/>
  <c r="G50" i="18"/>
  <c r="F64"/>
  <c r="H49"/>
  <c r="E43"/>
  <c r="I23" i="7" s="1"/>
  <c r="E50" i="18"/>
  <c r="I57"/>
  <c r="F63"/>
  <c r="G60"/>
  <c r="F62"/>
  <c r="I41"/>
  <c r="F61"/>
  <c r="E48"/>
  <c r="H60"/>
  <c r="F46"/>
  <c r="G43"/>
  <c r="I55"/>
  <c r="I63"/>
  <c r="I49"/>
  <c r="G47"/>
  <c r="G20"/>
  <c r="G19"/>
  <c r="I50"/>
  <c r="I48"/>
  <c r="G40"/>
  <c r="I53"/>
  <c r="I46"/>
  <c r="F23"/>
  <c r="E64"/>
  <c r="G48"/>
  <c r="G55"/>
  <c r="E42"/>
  <c r="H23" i="7" s="1"/>
  <c r="F21" i="18"/>
  <c r="E39"/>
  <c r="E23" i="7" s="1"/>
  <c r="H61" i="18"/>
  <c r="G54"/>
  <c r="F57"/>
  <c r="G46"/>
  <c r="I56"/>
  <c r="F55"/>
  <c r="E62"/>
  <c r="E61"/>
  <c r="H56"/>
  <c r="F43"/>
  <c r="F41"/>
  <c r="F28"/>
  <c r="I64"/>
  <c r="G62"/>
  <c r="H54"/>
  <c r="I40"/>
  <c r="I39"/>
  <c r="H11" i="129"/>
  <c r="I8" i="7"/>
  <c r="I21" s="1"/>
  <c r="D30" i="18"/>
  <c r="D64" s="1"/>
  <c r="D106" s="1"/>
  <c r="D29"/>
  <c r="D56" s="1"/>
  <c r="D48"/>
  <c r="E12" i="129"/>
  <c r="G11"/>
  <c r="G8" i="31"/>
  <c r="D43" i="18"/>
  <c r="L6" i="32"/>
  <c r="G19"/>
  <c r="F40" i="18"/>
  <c r="F19"/>
  <c r="F22"/>
  <c r="E46"/>
  <c r="E47"/>
  <c r="F11" i="129"/>
  <c r="P21" i="9"/>
  <c r="P23" i="125"/>
  <c r="P18" i="124"/>
  <c r="P23" i="19"/>
  <c r="P23" i="61"/>
  <c r="Q22" i="36"/>
  <c r="P21" i="56"/>
  <c r="P23" i="18"/>
  <c r="F22" i="122" l="1"/>
  <c r="K6" i="31" s="1"/>
  <c r="B13"/>
  <c r="B5" i="122" s="1"/>
  <c r="B6" i="32" s="1"/>
  <c r="B13" s="1"/>
  <c r="H26"/>
  <c r="D62" i="18"/>
  <c r="D104" s="1"/>
  <c r="D55"/>
  <c r="D61"/>
  <c r="D103" s="1"/>
  <c r="D54"/>
  <c r="C1" i="55"/>
  <c r="B28" i="32"/>
  <c r="B19"/>
  <c r="G13"/>
  <c r="I13" s="1"/>
  <c r="J13" s="1"/>
  <c r="G26" i="132" s="1"/>
  <c r="J6" i="56"/>
  <c r="K7" i="162"/>
  <c r="E40" i="18"/>
  <c r="F23" i="7" s="1"/>
  <c r="J22" s="1"/>
  <c r="G13" i="132" s="1"/>
  <c r="G29" i="18"/>
  <c r="K9" i="162"/>
  <c r="H18" i="97"/>
  <c r="E6" i="129" s="1"/>
  <c r="E7" s="1"/>
  <c r="E8" s="1"/>
  <c r="I14" i="31"/>
  <c r="K13" s="1"/>
  <c r="G24" i="132" s="1"/>
  <c r="H52" i="97"/>
  <c r="I6" i="129" s="1"/>
  <c r="I7" s="1"/>
  <c r="I8" s="1"/>
  <c r="J9" i="150"/>
  <c r="J5"/>
  <c r="B8" i="129"/>
  <c r="B7" i="36" s="1"/>
  <c r="E21" i="18"/>
  <c r="G11" i="7" s="1"/>
  <c r="J9" s="1"/>
  <c r="G8" i="132" s="1"/>
  <c r="H48" i="18"/>
  <c r="D42"/>
  <c r="G28"/>
  <c r="H39"/>
  <c r="G30"/>
  <c r="H47"/>
  <c r="F49"/>
  <c r="E26"/>
  <c r="E14" i="7" s="1"/>
  <c r="D57" i="18"/>
  <c r="H55"/>
  <c r="H46"/>
  <c r="G23"/>
  <c r="F47"/>
  <c r="I61"/>
  <c r="G8" i="7"/>
  <c r="G21" s="1"/>
  <c r="E60" i="18"/>
  <c r="H62"/>
  <c r="F27"/>
  <c r="G21"/>
  <c r="F48"/>
  <c r="F8" i="7"/>
  <c r="F21" s="1"/>
  <c r="E8"/>
  <c r="E21" s="1"/>
  <c r="F26" i="18"/>
  <c r="F30"/>
  <c r="H38" i="97"/>
  <c r="G6" i="129" s="1"/>
  <c r="G7" s="1"/>
  <c r="G8" s="1"/>
  <c r="B14" i="31"/>
  <c r="B6" i="122" s="1"/>
  <c r="B7" i="32" s="1"/>
  <c r="J10" i="56"/>
  <c r="J5" i="172"/>
  <c r="J6" s="1"/>
  <c r="C26" i="32" s="1"/>
  <c r="J8" i="172"/>
  <c r="E26" i="32" s="1"/>
  <c r="F26" s="1"/>
  <c r="L8"/>
  <c r="M6" s="1"/>
  <c r="J12" i="171"/>
  <c r="E6" i="32" s="1"/>
  <c r="J9" i="171"/>
  <c r="F6" i="32" s="1"/>
  <c r="K4" i="162"/>
  <c r="K6"/>
  <c r="K8"/>
  <c r="L6" i="95"/>
  <c r="M6" s="1"/>
  <c r="K6"/>
  <c r="L4"/>
  <c r="M4" s="1"/>
  <c r="K4"/>
  <c r="K8"/>
  <c r="O7" i="152"/>
  <c r="H7" i="170"/>
  <c r="P14" s="1"/>
  <c r="H24" i="7" s="1"/>
  <c r="H25" s="1"/>
  <c r="L7" i="32"/>
  <c r="C31" i="132"/>
  <c r="O7" i="156"/>
  <c r="L6" i="31"/>
  <c r="G23" i="132" s="1"/>
  <c r="D63" i="18"/>
  <c r="D105" s="1"/>
  <c r="H57"/>
  <c r="G63"/>
  <c r="F42"/>
  <c r="F54"/>
  <c r="I60"/>
  <c r="H64"/>
  <c r="E55"/>
  <c r="G27" i="7" s="1"/>
  <c r="G42" i="18"/>
  <c r="E56"/>
  <c r="H27" i="7" s="1"/>
  <c r="E57" i="18"/>
  <c r="I27" i="7" s="1"/>
  <c r="G39" i="18"/>
  <c r="E53"/>
  <c r="E27" i="7" s="1"/>
  <c r="I42" i="18"/>
  <c r="H40"/>
  <c r="E29"/>
  <c r="H14" i="7" s="1"/>
  <c r="E27" i="18"/>
  <c r="F14" i="7" s="1"/>
  <c r="J11" i="56"/>
  <c r="J9"/>
  <c r="J7"/>
  <c r="J4"/>
  <c r="H7" i="32"/>
  <c r="O8" i="156"/>
  <c r="O10"/>
  <c r="J8" i="55"/>
  <c r="F8" i="32" s="1"/>
  <c r="O9" i="156"/>
  <c r="O6" i="157"/>
  <c r="O6" i="168"/>
  <c r="G64" i="18"/>
  <c r="E30"/>
  <c r="I14" i="7" s="1"/>
  <c r="D26" i="18"/>
  <c r="H8" i="32"/>
  <c r="J8" i="56"/>
  <c r="J5"/>
  <c r="J3"/>
  <c r="D6" i="32"/>
  <c r="O6" i="156"/>
  <c r="J8" i="150"/>
  <c r="J4"/>
  <c r="O6" i="167"/>
  <c r="K5" i="95"/>
  <c r="K4" i="148"/>
  <c r="K5"/>
  <c r="H26" i="97"/>
  <c r="F6" i="129" s="1"/>
  <c r="F7" s="1"/>
  <c r="F8" s="1"/>
  <c r="H45" i="97"/>
  <c r="H6" i="129" s="1"/>
  <c r="H7" s="1"/>
  <c r="H8" s="1"/>
  <c r="L7" i="148"/>
  <c r="M7" s="1"/>
  <c r="O6" i="151"/>
  <c r="M6" i="166"/>
  <c r="K6" i="148"/>
  <c r="L7" i="95"/>
  <c r="M7" s="1"/>
  <c r="C1" i="171" l="1"/>
  <c r="B26" i="32"/>
  <c r="B16"/>
  <c r="C1" i="149"/>
  <c r="B27" i="32"/>
  <c r="J10" i="150"/>
  <c r="C27" i="32" s="1"/>
  <c r="D26" s="1"/>
  <c r="J26" s="1"/>
  <c r="G27" i="132" s="1"/>
  <c r="J12" i="56"/>
  <c r="C28" i="32" s="1"/>
  <c r="J8" i="129"/>
  <c r="G29" i="132" s="1"/>
  <c r="I29" s="1"/>
  <c r="H6" i="32"/>
  <c r="I6" s="1"/>
  <c r="O6" s="1"/>
  <c r="G25" i="132" s="1"/>
  <c r="M10" i="162"/>
  <c r="D6" i="9" s="1"/>
  <c r="M8" i="148"/>
  <c r="D5" i="9" s="1"/>
  <c r="M10" i="95"/>
  <c r="D4" i="9" s="1"/>
  <c r="P34" i="151"/>
  <c r="P35" s="1"/>
  <c r="E20" i="7" s="1"/>
  <c r="F20" s="1"/>
  <c r="J12"/>
  <c r="G9" i="132" s="1"/>
  <c r="J26" i="7"/>
  <c r="G14" i="132" s="1"/>
  <c r="P8" i="152"/>
  <c r="P9" s="1"/>
  <c r="E24" i="7" s="1"/>
  <c r="E25" s="1"/>
  <c r="P7" i="166"/>
  <c r="P8" s="1"/>
  <c r="G24" i="7" s="1"/>
  <c r="G25" s="1"/>
  <c r="P7" i="167"/>
  <c r="P8" s="1"/>
  <c r="F28" i="7" s="1"/>
  <c r="F29" s="1"/>
  <c r="P7" i="157"/>
  <c r="P8" s="1"/>
  <c r="G28" i="7" s="1"/>
  <c r="G29" s="1"/>
  <c r="P8" i="165"/>
  <c r="P9" s="1"/>
  <c r="I24" i="7" s="1"/>
  <c r="I25" s="1"/>
  <c r="P7" i="163"/>
  <c r="P8" s="1"/>
  <c r="I28" i="7" s="1"/>
  <c r="I29" s="1"/>
  <c r="K8" i="148"/>
  <c r="D8" i="9" s="1"/>
  <c r="P7" i="164"/>
  <c r="P8" s="1"/>
  <c r="F24" i="7" s="1"/>
  <c r="F25" s="1"/>
  <c r="K10" i="162"/>
  <c r="D9" i="9" s="1"/>
  <c r="P11" i="156"/>
  <c r="P12" s="1"/>
  <c r="E28" i="7" s="1"/>
  <c r="E29" s="1"/>
  <c r="D60" i="18"/>
  <c r="D102" s="1"/>
  <c r="D53"/>
  <c r="P7" i="168"/>
  <c r="P8" s="1"/>
  <c r="H28" i="7" s="1"/>
  <c r="H29" s="1"/>
  <c r="K10" i="95"/>
  <c r="D7" i="9" s="1"/>
  <c r="J24" i="7" l="1"/>
  <c r="G16" i="132" s="1"/>
  <c r="I16" s="1"/>
  <c r="H4" i="9"/>
  <c r="F7"/>
  <c r="H7" s="1"/>
  <c r="G21" i="132" s="1"/>
  <c r="I21" s="1"/>
  <c r="J28" i="7"/>
  <c r="G17" i="132" s="1"/>
  <c r="I17" s="1"/>
  <c r="G20" l="1"/>
  <c r="G31" l="1"/>
  <c r="I31" s="1"/>
  <c r="I20"/>
</calcChain>
</file>

<file path=xl/comments1.xml><?xml version="1.0" encoding="utf-8"?>
<comments xmlns="http://schemas.openxmlformats.org/spreadsheetml/2006/main">
  <authors>
    <author>Preferred Customer</author>
  </authors>
  <commentList>
    <comment ref="K1" authorId="0">
      <text>
        <r>
          <rPr>
            <b/>
            <sz val="10"/>
            <color indexed="81"/>
            <rFont val="굴림"/>
            <family val="3"/>
            <charset val="129"/>
          </rPr>
          <t>PQ서류제출일 입력</t>
        </r>
      </text>
    </comment>
  </commentList>
</comments>
</file>

<file path=xl/sharedStrings.xml><?xml version="1.0" encoding="utf-8"?>
<sst xmlns="http://schemas.openxmlformats.org/spreadsheetml/2006/main" count="1483" uniqueCount="840">
  <si>
    <t>2001-04-30</t>
  </si>
  <si>
    <t>2006-07-29</t>
  </si>
  <si>
    <t>도시계획</t>
    <phoneticPr fontId="2" type="noConversion"/>
  </si>
  <si>
    <t xml:space="preserve">
▣근거법:택지개발촉진법
위치 : 경기도 화성시 태안읍,
        동탄면 일원
면적 : 9,036,055㎡
토질조사:611,224,900원
기본계획:701,239,000원
기본설계:1,165,010,000원
실시설계:2,138,950,000원
조경기본설계:245,170,200원
교통영향평가:177,925,000원
환경영향평가:214,214,000원
재해영향평가:100,210,000원
인구영향평가:82,962,000원
특수구조물 토질조사:
  216,044,410원
특수구조물 기본 및 실시설계:
  1,207,222,500원
교통영향평가협의:92,103,000원
버스전용차로 기본계획 및 설계:
  107,899,000원
</t>
    <phoneticPr fontId="2" type="noConversion"/>
  </si>
  <si>
    <t>소계</t>
    <phoneticPr fontId="2" type="noConversion"/>
  </si>
  <si>
    <t>부산.진해경제자유구역 미음지구 
개발사업 조사설계용역</t>
    <phoneticPr fontId="23" type="noConversion"/>
  </si>
  <si>
    <t xml:space="preserve">근거법: 경제자유구역의 지정 및 운영에 
관한 법률, 산입법 </t>
    <phoneticPr fontId="23" type="noConversion"/>
  </si>
  <si>
    <t>부산도시공사</t>
    <phoneticPr fontId="23" type="noConversion"/>
  </si>
  <si>
    <t>도로및공항</t>
    <phoneticPr fontId="23" type="noConversion"/>
  </si>
  <si>
    <t>주)</t>
    <phoneticPr fontId="23" type="noConversion"/>
  </si>
  <si>
    <t>※신고자의 실적에 해당하는 양식을  사용하여 작성합니다. 합계건수가 기술자 시트에 입력 되도록 확인합니다.</t>
    <phoneticPr fontId="23" type="noConversion"/>
  </si>
  <si>
    <t>참여기술자가 발주청 및 엔지니어 등 수행한 용역을 기초로 해당 양식을 사용하여 작성 합니다.</t>
    <phoneticPr fontId="23" type="noConversion"/>
  </si>
  <si>
    <t>발주청에서 직접 자체설계한 실적은 감독관리건수에 포함하여 작성합니다.</t>
    <phoneticPr fontId="23" type="noConversion"/>
  </si>
  <si>
    <t>과업참여기간이 30일 이상인 용역 참여건의 참여기간을 전체 계약기간 중 실제 참여기간에 대한 비율로 평가합니다.
다만, 최대용역기간은 24개월을 초과할 수 없도록 산식이 되어 있으며, 참여개월수 또한 24개월을 초과할 수 없습니다.
예를 들어 실제 용역기간이 48개월이고, 그 중에 24개월만 참여한 경우에는 비율 100% 적용을 받습니다.</t>
    <phoneticPr fontId="23" type="noConversion"/>
  </si>
  <si>
    <t>용역중지기간은 용역기간 및 참여기간에 포함시키지 않습니다.</t>
    <phoneticPr fontId="23" type="noConversion"/>
  </si>
  <si>
    <t>용역실적증명서(원본 또는 사본)를 첨부하고, 실적대조를 위하여 양식에 작성된 연번을 반드시 기재하시기 바라며, 연번 순서대로 제본하여야 합니다.</t>
    <phoneticPr fontId="23" type="noConversion"/>
  </si>
  <si>
    <t>용역실적증명서의 참여기술자 명단이 누락 되었거나, 참여기술자 명단에 해당 참여기술자가 누락된 경우에는 해당실적을 인정하지 않습니다.</t>
    <phoneticPr fontId="23" type="noConversion"/>
  </si>
  <si>
    <t xml:space="preserve">업체의 실적금액은 금번 시행하는 용역의 지침상 인정하는 범위에 해당하는 금액만을 실적으로 인정합니다. 
발주청에서 시행한 지구단위계획용역 또는 과업내용 중 지구단위계획이 포함된 용역으로서 
기본계획, 개발계획용역을 같이 수행한 경우에는 기본계획, 개발계획의 실적금액(설계관련 실적제외)을 모두 인정합니다. 
단, 과업포함여부 확인은 발주청에서 발급한 실적증명서 상 과업내용으로 명확하게 명시된 경우에 한하여 인정합니다. </t>
    <phoneticPr fontId="23" type="noConversion"/>
  </si>
  <si>
    <t>영향평가, 기본및 실시설계, 실시계획 등의 유사용역 외의 실적에 해당금액은 유사용역 제외금액에 입력합니다.</t>
    <phoneticPr fontId="23" type="noConversion"/>
  </si>
  <si>
    <r>
      <t>기입란은 행 삽입,삭제가 가능하며, 행삽입,삭제시 실적이 합계에서 누락되지 않도록 반드시 확인(기술자실적 시트) 주의해야 합니다</t>
    </r>
    <r>
      <rPr>
        <sz val="10"/>
        <rFont val="돋움"/>
        <family val="3"/>
        <charset val="129"/>
      </rPr>
      <t>.</t>
    </r>
    <phoneticPr fontId="23" type="noConversion"/>
  </si>
  <si>
    <t>토질지질 책임</t>
    <phoneticPr fontId="2" type="noConversion"/>
  </si>
  <si>
    <t>도로및공항 책임</t>
    <phoneticPr fontId="2" type="noConversion"/>
  </si>
  <si>
    <t>토목구조 책임</t>
    <phoneticPr fontId="2" type="noConversion"/>
  </si>
  <si>
    <t>상하수도 책임</t>
    <phoneticPr fontId="2" type="noConversion"/>
  </si>
  <si>
    <t>도시계획 참여</t>
    <phoneticPr fontId="2" type="noConversion"/>
  </si>
  <si>
    <t>토질지질 참여</t>
    <phoneticPr fontId="2" type="noConversion"/>
  </si>
  <si>
    <t>토목구조 참여</t>
    <phoneticPr fontId="2" type="noConversion"/>
  </si>
  <si>
    <t>도로공항 참여</t>
    <phoneticPr fontId="2" type="noConversion"/>
  </si>
  <si>
    <t xml:space="preserve">근거법:산업입지및개발에
 관한법률
면적:687,896㎡
위치:파주시교하읍문발리,
 산남리,신촌리,서패리일원
기본설계보완:68,871,000원
기본및실시설계:554,906,000원
토질조사:183,381,000원
조경기본계획:16,082,000원
교통영향평가:82,181,000원
재해영향평가:82,742,000원
현황측량:130,900,000원
배수펌프장기본및실시설계:
 584,320,000원
유량조정조기본및실시설계:
 31,410,720원
진입도로기본및실시설계:
 120,297,100원
개발계획및실시계획.인허가:
 83,725,180
</t>
    <phoneticPr fontId="63" type="noConversion"/>
  </si>
  <si>
    <t>평택오성 지방산업단지 조성사업 조사설계 용역</t>
  </si>
  <si>
    <t>참여분야</t>
    <phoneticPr fontId="2" type="noConversion"/>
  </si>
  <si>
    <t>부실벌점 내용</t>
    <phoneticPr fontId="2" type="noConversion"/>
  </si>
  <si>
    <t>2) 참여기술자 부실벌점</t>
    <phoneticPr fontId="2" type="noConversion"/>
  </si>
  <si>
    <t>성명</t>
    <phoneticPr fontId="2" type="noConversion"/>
  </si>
  <si>
    <t>번호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</si>
  <si>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</si>
  <si>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</si>
  <si>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</si>
  <si>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용역기간</t>
    <phoneticPr fontId="23" type="noConversion"/>
  </si>
  <si>
    <t>비고</t>
    <phoneticPr fontId="23" type="noConversion"/>
  </si>
  <si>
    <t>소계</t>
    <phoneticPr fontId="23" type="noConversion"/>
  </si>
  <si>
    <t xml:space="preserve"> - 설계업체 근무실적 양식</t>
    <phoneticPr fontId="23" type="noConversion"/>
  </si>
  <si>
    <t>준공금액
(백만원)</t>
    <phoneticPr fontId="2" type="noConversion"/>
  </si>
  <si>
    <t>용역기간</t>
    <phoneticPr fontId="2" type="noConversion"/>
  </si>
  <si>
    <t>용역참여기간</t>
    <phoneticPr fontId="23" type="noConversion"/>
  </si>
  <si>
    <t>참여
 전문분야</t>
    <phoneticPr fontId="23" type="noConversion"/>
  </si>
  <si>
    <t>유사용역
제외금액
(백만원)</t>
    <phoneticPr fontId="23" type="noConversion"/>
  </si>
  <si>
    <t>유사용역
분야금액
(백만원)</t>
    <phoneticPr fontId="23" type="noConversion"/>
  </si>
  <si>
    <t>실적
적용
구간</t>
    <phoneticPr fontId="23" type="noConversion"/>
  </si>
  <si>
    <t>적용
건수</t>
    <phoneticPr fontId="23" type="noConversion"/>
  </si>
  <si>
    <t>용역
착수일</t>
    <phoneticPr fontId="23" type="noConversion"/>
  </si>
  <si>
    <t>용역
준공일</t>
    <phoneticPr fontId="23" type="noConversion"/>
  </si>
  <si>
    <t>용역기간
(일)</t>
    <phoneticPr fontId="23" type="noConversion"/>
  </si>
  <si>
    <t>참여
개시일</t>
    <phoneticPr fontId="23" type="noConversion"/>
  </si>
  <si>
    <t>참여
종료일</t>
    <phoneticPr fontId="23" type="noConversion"/>
  </si>
  <si>
    <t>참여기간
(일)</t>
    <phoneticPr fontId="23" type="noConversion"/>
  </si>
  <si>
    <t>총계</t>
    <phoneticPr fontId="23" type="noConversion"/>
  </si>
  <si>
    <t>주)</t>
    <phoneticPr fontId="23" type="noConversion"/>
  </si>
  <si>
    <t>※신고자의 실적에 해당하는 양식을  사용하여 작성합니다. 합계건수가 기술자 시트에 입력 되도록 확인합니다.</t>
    <phoneticPr fontId="23" type="noConversion"/>
  </si>
  <si>
    <t>용역실적증명서(원본 또는 사본)를 첨부하고, 실적대조를 위하여 양식에 작성된 연번을 반드시 기재하시기 바라며, 연번 순서대로 제본하여야 합니다.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</si>
  <si>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</si>
  <si>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</si>
  <si>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</si>
  <si>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용역기간</t>
    <phoneticPr fontId="23" type="noConversion"/>
  </si>
  <si>
    <t>용역
계약일</t>
    <phoneticPr fontId="23" type="noConversion"/>
  </si>
  <si>
    <t>용역
준공일</t>
    <phoneticPr fontId="23" type="noConversion"/>
  </si>
  <si>
    <t>실적제외금액(백만원)</t>
    <phoneticPr fontId="23" type="noConversion"/>
  </si>
  <si>
    <t>참여기술자가 발주청 및 엔지니어 등 수행한 용역을 기초로 해당 양식을 사용하여 작성 합니다.</t>
    <phoneticPr fontId="23" type="noConversion"/>
  </si>
  <si>
    <t xml:space="preserve">    2.</t>
    <phoneticPr fontId="23" type="noConversion"/>
  </si>
  <si>
    <t>발주청에서 직접 자체설계한 실적은 감독관리건수에 포함하여 작성합니다.</t>
    <phoneticPr fontId="23" type="noConversion"/>
  </si>
  <si>
    <r>
      <t>기입란은 행 삽입,삭제가 가능하며, 행삽입,삭제시 실적이 합계에서 누락되지 않도록 반드시 확인(기술자실적 시트) 주의해야 합니다</t>
    </r>
    <r>
      <rPr>
        <sz val="10"/>
        <rFont val="돋움"/>
        <family val="3"/>
        <charset val="129"/>
      </rPr>
      <t>.</t>
    </r>
    <phoneticPr fontId="23" type="noConversion"/>
  </si>
  <si>
    <t>실적금액에 따른 건수인정기준은 공동도급비율 적용 전의 금액을 기준으로 산정하며, 건수산정 후 공동도급비율을 반영합니다.</t>
    <phoneticPr fontId="23" type="noConversion"/>
  </si>
  <si>
    <t>발주청이 발행한 실적증명서나 계약서 사본(원본대조필)으로 하되 참여기술자, 용역수행기간, 준공금액 및 공동도급업체수가 확인될 수 있어야 합니다.</t>
    <phoneticPr fontId="23" type="noConversion"/>
  </si>
  <si>
    <t>설계·시공일괄입찰 또는 대안입찰방식으로 참여하여 낙찰자 및 설계보상대상자로 지정된 경우에는 해당 발주기관이 발급한 증명서를 첨부하되 해당입찰의 낙찰금액이 확인될 수 있어야 합니다.</t>
    <phoneticPr fontId="23" type="noConversion"/>
  </si>
  <si>
    <t>기입란이 부족한 경우 행 삽입,삭제가 가능하며, 행삽입,삭제시 실적이 합계에서 누락되지 않도록 반드시 확인(유사용역 시트) 주의해야 합니다</t>
    <phoneticPr fontId="23" type="noConversion"/>
  </si>
  <si>
    <t>실적금액
(백만원)</t>
    <phoneticPr fontId="23" type="noConversion"/>
  </si>
  <si>
    <t>합계</t>
    <phoneticPr fontId="23" type="noConversion"/>
  </si>
  <si>
    <t>참여용역</t>
    <phoneticPr fontId="2" type="noConversion"/>
  </si>
  <si>
    <t>용역중지일</t>
    <phoneticPr fontId="23" type="noConversion"/>
  </si>
  <si>
    <t>중지사유</t>
    <phoneticPr fontId="23" type="noConversion"/>
  </si>
  <si>
    <t>용역계약일</t>
    <phoneticPr fontId="23" type="noConversion"/>
  </si>
  <si>
    <t>용역준공일</t>
    <phoneticPr fontId="23" type="noConversion"/>
  </si>
  <si>
    <t>합    계</t>
    <phoneticPr fontId="23" type="noConversion"/>
  </si>
  <si>
    <t>계약금액
(백만원)</t>
    <phoneticPr fontId="23" type="noConversion"/>
  </si>
  <si>
    <t>적용금액
(백만원)</t>
    <phoneticPr fontId="23" type="noConversion"/>
  </si>
  <si>
    <t>주)</t>
    <phoneticPr fontId="2" type="noConversion"/>
  </si>
  <si>
    <t>개발실적</t>
    <phoneticPr fontId="23" type="noConversion"/>
  </si>
  <si>
    <t>재정상태건실도 평가는 유효기간내의 회사채,기업어음,기업신용 중 한가지만 입력하면 됩니다.</t>
    <phoneticPr fontId="23" type="noConversion"/>
  </si>
  <si>
    <t>업체명</t>
    <phoneticPr fontId="2" type="noConversion"/>
  </si>
  <si>
    <t>평가</t>
    <phoneticPr fontId="2" type="noConversion"/>
  </si>
  <si>
    <t>사업책임기술자</t>
    <phoneticPr fontId="2" type="noConversion"/>
  </si>
  <si>
    <t>부실벌점</t>
    <phoneticPr fontId="2" type="noConversion"/>
  </si>
  <si>
    <t>업체</t>
    <phoneticPr fontId="2" type="noConversion"/>
  </si>
  <si>
    <t>기술자</t>
    <phoneticPr fontId="2" type="noConversion"/>
  </si>
  <si>
    <t>세부항목</t>
    <phoneticPr fontId="2" type="noConversion"/>
  </si>
  <si>
    <t>점수</t>
    <phoneticPr fontId="2" type="noConversion"/>
  </si>
  <si>
    <t>비율</t>
    <phoneticPr fontId="2" type="noConversion"/>
  </si>
  <si>
    <t>기준</t>
    <phoneticPr fontId="2" type="noConversion"/>
  </si>
  <si>
    <t>투자실적</t>
    <phoneticPr fontId="2" type="noConversion"/>
  </si>
  <si>
    <t>구분</t>
    <phoneticPr fontId="2" type="noConversion"/>
  </si>
  <si>
    <t>총 계</t>
    <phoneticPr fontId="2" type="noConversion"/>
  </si>
  <si>
    <t>등급</t>
    <phoneticPr fontId="2" type="noConversion"/>
  </si>
  <si>
    <t>특급</t>
    <phoneticPr fontId="2" type="noConversion"/>
  </si>
  <si>
    <t>고급</t>
    <phoneticPr fontId="2" type="noConversion"/>
  </si>
  <si>
    <t>중급</t>
    <phoneticPr fontId="2" type="noConversion"/>
  </si>
  <si>
    <t>경력</t>
    <phoneticPr fontId="2" type="noConversion"/>
  </si>
  <si>
    <t>실적</t>
    <phoneticPr fontId="2" type="noConversion"/>
  </si>
  <si>
    <t>신용도</t>
    <phoneticPr fontId="2" type="noConversion"/>
  </si>
  <si>
    <t>실용신안</t>
    <phoneticPr fontId="2" type="noConversion"/>
  </si>
  <si>
    <t>지분율</t>
    <phoneticPr fontId="2" type="noConversion"/>
  </si>
  <si>
    <t>1순위</t>
    <phoneticPr fontId="2" type="noConversion"/>
  </si>
  <si>
    <t>2순위</t>
  </si>
  <si>
    <t>3순위</t>
  </si>
  <si>
    <t>4순위</t>
  </si>
  <si>
    <t>5순위</t>
  </si>
  <si>
    <t>1. 등급</t>
    <phoneticPr fontId="2" type="noConversion"/>
  </si>
  <si>
    <t>2. 경력</t>
    <phoneticPr fontId="2" type="noConversion"/>
  </si>
  <si>
    <t>최소점수 =0</t>
    <phoneticPr fontId="2" type="noConversion"/>
  </si>
  <si>
    <t>5년미만</t>
    <phoneticPr fontId="2" type="noConversion"/>
  </si>
  <si>
    <t>소계</t>
    <phoneticPr fontId="2" type="noConversion"/>
  </si>
  <si>
    <t>5~10년</t>
    <phoneticPr fontId="2" type="noConversion"/>
  </si>
  <si>
    <t>10~20년</t>
    <phoneticPr fontId="2" type="noConversion"/>
  </si>
  <si>
    <t>신기술</t>
    <phoneticPr fontId="2" type="noConversion"/>
  </si>
  <si>
    <t>건수</t>
    <phoneticPr fontId="2" type="noConversion"/>
  </si>
  <si>
    <t>2주이상</t>
    <phoneticPr fontId="2" type="noConversion"/>
  </si>
  <si>
    <t>감점</t>
    <phoneticPr fontId="2" type="noConversion"/>
  </si>
  <si>
    <t>분야별 책임기술자</t>
    <phoneticPr fontId="2" type="noConversion"/>
  </si>
  <si>
    <t>분야별 참여기술자</t>
    <phoneticPr fontId="2" type="noConversion"/>
  </si>
  <si>
    <t>입찰참가제한</t>
    <phoneticPr fontId="2" type="noConversion"/>
  </si>
  <si>
    <t>기술자격정지
또는 업무정지</t>
    <phoneticPr fontId="2" type="noConversion"/>
  </si>
  <si>
    <t>기술개발 및 투자실적</t>
    <phoneticPr fontId="2" type="noConversion"/>
  </si>
  <si>
    <t>개발실적</t>
    <phoneticPr fontId="2" type="noConversion"/>
  </si>
  <si>
    <t>특허</t>
    <phoneticPr fontId="2" type="noConversion"/>
  </si>
  <si>
    <t>기간</t>
    <phoneticPr fontId="2" type="noConversion"/>
  </si>
  <si>
    <t>업무중첩도</t>
    <phoneticPr fontId="2" type="noConversion"/>
  </si>
  <si>
    <t>가감점</t>
    <phoneticPr fontId="2" type="noConversion"/>
  </si>
  <si>
    <t>교육훈련</t>
    <phoneticPr fontId="2" type="noConversion"/>
  </si>
  <si>
    <t>최근3년간(백만원)</t>
    <phoneticPr fontId="2" type="noConversion"/>
  </si>
  <si>
    <t>□ 입찰참가제한 및 업무정지(7점)</t>
    <phoneticPr fontId="2" type="noConversion"/>
  </si>
  <si>
    <t>최우수</t>
    <phoneticPr fontId="2" type="noConversion"/>
  </si>
  <si>
    <t>미제출</t>
    <phoneticPr fontId="2" type="noConversion"/>
  </si>
  <si>
    <t>우수</t>
    <phoneticPr fontId="2" type="noConversion"/>
  </si>
  <si>
    <t>보통</t>
    <phoneticPr fontId="2" type="noConversion"/>
  </si>
  <si>
    <t>미흡</t>
    <phoneticPr fontId="2" type="noConversion"/>
  </si>
  <si>
    <t>불량</t>
    <phoneticPr fontId="2" type="noConversion"/>
  </si>
  <si>
    <t>투자금액</t>
    <phoneticPr fontId="2" type="noConversion"/>
  </si>
  <si>
    <t>건설매출</t>
    <phoneticPr fontId="2" type="noConversion"/>
  </si>
  <si>
    <t>특      허</t>
    <phoneticPr fontId="2" type="noConversion"/>
  </si>
  <si>
    <t>개월</t>
    <phoneticPr fontId="2" type="noConversion"/>
  </si>
  <si>
    <t>재정상태건실도</t>
    <phoneticPr fontId="2" type="noConversion"/>
  </si>
  <si>
    <t>A-이상</t>
    <phoneticPr fontId="2" type="noConversion"/>
  </si>
  <si>
    <t>A2-이상</t>
    <phoneticPr fontId="2" type="noConversion"/>
  </si>
  <si>
    <t>C이하</t>
    <phoneticPr fontId="2" type="noConversion"/>
  </si>
  <si>
    <t>CCC+이하</t>
    <phoneticPr fontId="2" type="noConversion"/>
  </si>
  <si>
    <t>회사채</t>
    <phoneticPr fontId="2" type="noConversion"/>
  </si>
  <si>
    <t>기업어음</t>
    <phoneticPr fontId="2" type="noConversion"/>
  </si>
  <si>
    <t>기업신용</t>
    <phoneticPr fontId="2" type="noConversion"/>
  </si>
  <si>
    <t>AAA</t>
  </si>
  <si>
    <t>A1</t>
  </si>
  <si>
    <t>A2+</t>
  </si>
  <si>
    <t>A20</t>
  </si>
  <si>
    <t>A2-</t>
  </si>
  <si>
    <t>A+</t>
  </si>
  <si>
    <t>A3+</t>
  </si>
  <si>
    <t>A0</t>
  </si>
  <si>
    <t>A30</t>
  </si>
  <si>
    <t>A-</t>
  </si>
  <si>
    <t>A3-</t>
  </si>
  <si>
    <t>BBB+</t>
  </si>
  <si>
    <t>B+</t>
  </si>
  <si>
    <t>BBB0</t>
  </si>
  <si>
    <t>B0</t>
  </si>
  <si>
    <t>BBB-</t>
  </si>
  <si>
    <t>B-</t>
  </si>
  <si>
    <t>C 이하</t>
  </si>
  <si>
    <t>BB-</t>
  </si>
  <si>
    <t>CCC+ 이하</t>
  </si>
  <si>
    <t>AA+</t>
    <phoneticPr fontId="2" type="noConversion"/>
  </si>
  <si>
    <t>AA0</t>
    <phoneticPr fontId="2" type="noConversion"/>
  </si>
  <si>
    <t>AA-</t>
    <phoneticPr fontId="2" type="noConversion"/>
  </si>
  <si>
    <t>BB+</t>
    <phoneticPr fontId="2" type="noConversion"/>
  </si>
  <si>
    <t>BB0</t>
    <phoneticPr fontId="2" type="noConversion"/>
  </si>
  <si>
    <t>B+</t>
    <phoneticPr fontId="2" type="noConversion"/>
  </si>
  <si>
    <t>B0</t>
    <phoneticPr fontId="2" type="noConversion"/>
  </si>
  <si>
    <t>B-</t>
    <phoneticPr fontId="2" type="noConversion"/>
  </si>
  <si>
    <t>건수</t>
  </si>
  <si>
    <t>가중치</t>
    <phoneticPr fontId="2" type="noConversion"/>
  </si>
  <si>
    <t xml:space="preserve">  * 활용실적에 따른 가중치는 활용건수, 활용금액 중 하나의 조건을 만족하면 인정</t>
    <phoneticPr fontId="2" type="noConversion"/>
  </si>
  <si>
    <t>3.실적</t>
    <phoneticPr fontId="2" type="noConversion"/>
  </si>
  <si>
    <t>유사용역(회사)</t>
    <phoneticPr fontId="2" type="noConversion"/>
  </si>
  <si>
    <t>A-미만BBB-이상</t>
    <phoneticPr fontId="2" type="noConversion"/>
  </si>
  <si>
    <t>A2-미만A3+이상</t>
    <phoneticPr fontId="2" type="noConversion"/>
  </si>
  <si>
    <t>BBB-미만B-이상</t>
    <phoneticPr fontId="2" type="noConversion"/>
  </si>
  <si>
    <t>A3+미만B-이상</t>
    <phoneticPr fontId="2" type="noConversion"/>
  </si>
  <si>
    <t>정지기간(일)</t>
    <phoneticPr fontId="2" type="noConversion"/>
  </si>
  <si>
    <t>비율평균</t>
    <phoneticPr fontId="2" type="noConversion"/>
  </si>
  <si>
    <t>적용</t>
    <phoneticPr fontId="2" type="noConversion"/>
  </si>
  <si>
    <t>항목</t>
    <phoneticPr fontId="2" type="noConversion"/>
  </si>
  <si>
    <t>비고</t>
    <phoneticPr fontId="2" type="noConversion"/>
  </si>
  <si>
    <t>항      목</t>
    <phoneticPr fontId="2" type="noConversion"/>
  </si>
  <si>
    <t>분야1</t>
    <phoneticPr fontId="2" type="noConversion"/>
  </si>
  <si>
    <t>분야2</t>
    <phoneticPr fontId="2" type="noConversion"/>
  </si>
  <si>
    <t>분야3</t>
    <phoneticPr fontId="2" type="noConversion"/>
  </si>
  <si>
    <t>분야4</t>
    <phoneticPr fontId="2" type="noConversion"/>
  </si>
  <si>
    <t>분야5</t>
    <phoneticPr fontId="2" type="noConversion"/>
  </si>
  <si>
    <t>1. 건수</t>
    <phoneticPr fontId="2" type="noConversion"/>
  </si>
  <si>
    <t>2. 금액</t>
    <phoneticPr fontId="2" type="noConversion"/>
  </si>
  <si>
    <t>CCC+ 이하</t>
    <phoneticPr fontId="2" type="noConversion"/>
  </si>
  <si>
    <t>활용실적</t>
    <phoneticPr fontId="2" type="noConversion"/>
  </si>
  <si>
    <t>활용건수(건)</t>
    <phoneticPr fontId="2" type="noConversion"/>
  </si>
  <si>
    <t>활용금액(억원)</t>
    <phoneticPr fontId="2" type="noConversion"/>
  </si>
  <si>
    <t>1주이상</t>
    <phoneticPr fontId="2" type="noConversion"/>
  </si>
  <si>
    <t>□ 재정상태 건실도- 신용평가등급(3점)</t>
    <phoneticPr fontId="2" type="noConversion"/>
  </si>
  <si>
    <t>업체별</t>
    <phoneticPr fontId="2" type="noConversion"/>
  </si>
  <si>
    <t>□ 개발실적(2점)</t>
    <phoneticPr fontId="2" type="noConversion"/>
  </si>
  <si>
    <t>□ 활용실적(3점)</t>
    <phoneticPr fontId="2" type="noConversion"/>
  </si>
  <si>
    <t>배점</t>
    <phoneticPr fontId="2" type="noConversion"/>
  </si>
  <si>
    <t>1. 기술자 평가</t>
    <phoneticPr fontId="2" type="noConversion"/>
  </si>
  <si>
    <t>2. 유사용역 수행실적(15점)</t>
    <phoneticPr fontId="2" type="noConversion"/>
  </si>
  <si>
    <t>번호</t>
    <phoneticPr fontId="23" type="noConversion"/>
  </si>
  <si>
    <t>비고</t>
    <phoneticPr fontId="23" type="noConversion"/>
  </si>
  <si>
    <t>종류</t>
  </si>
  <si>
    <t>번호</t>
  </si>
  <si>
    <t>기술명</t>
  </si>
  <si>
    <t>경과기간</t>
  </si>
  <si>
    <t>유효기간</t>
  </si>
  <si>
    <t>최초출원인</t>
    <phoneticPr fontId="23" type="noConversion"/>
  </si>
  <si>
    <t>출원
인수</t>
    <phoneticPr fontId="23" type="noConversion"/>
  </si>
  <si>
    <t>신기술 소계</t>
    <phoneticPr fontId="23" type="noConversion"/>
  </si>
  <si>
    <t>지정(출원)일</t>
    <phoneticPr fontId="23" type="noConversion"/>
  </si>
  <si>
    <t>실용신안</t>
    <phoneticPr fontId="23" type="noConversion"/>
  </si>
  <si>
    <t xml:space="preserve"> 특허 20년미만 소계</t>
    <phoneticPr fontId="23" type="noConversion"/>
  </si>
  <si>
    <t>특허 10년미만 소계</t>
    <phoneticPr fontId="23" type="noConversion"/>
  </si>
  <si>
    <t>금액
가중치</t>
    <phoneticPr fontId="23" type="noConversion"/>
  </si>
  <si>
    <t>건수
가중치</t>
    <phoneticPr fontId="23" type="noConversion"/>
  </si>
  <si>
    <t>실적
건수</t>
    <phoneticPr fontId="23" type="noConversion"/>
  </si>
  <si>
    <t>번호</t>
    <phoneticPr fontId="23" type="noConversion"/>
  </si>
  <si>
    <t>비고</t>
    <phoneticPr fontId="23" type="noConversion"/>
  </si>
  <si>
    <t>3. 신용도(10점)</t>
    <phoneticPr fontId="2" type="noConversion"/>
  </si>
  <si>
    <t>4. 기술개발 및 투자실적(15점)</t>
    <phoneticPr fontId="2" type="noConversion"/>
  </si>
  <si>
    <t>6. 가감점</t>
    <phoneticPr fontId="2" type="noConversion"/>
  </si>
  <si>
    <t>PQ 평가표 작성 요령</t>
    <phoneticPr fontId="2" type="noConversion"/>
  </si>
  <si>
    <t>주) 1.</t>
    <phoneticPr fontId="23" type="noConversion"/>
  </si>
  <si>
    <t>회사채</t>
    <phoneticPr fontId="2" type="noConversion"/>
  </si>
  <si>
    <t xml:space="preserve">            란을 직접입력합니다. </t>
    <phoneticPr fontId="23" type="noConversion"/>
  </si>
  <si>
    <t xml:space="preserve">     2.</t>
    <phoneticPr fontId="2" type="noConversion"/>
  </si>
  <si>
    <t>기술개요</t>
    <phoneticPr fontId="23" type="noConversion"/>
  </si>
  <si>
    <t xml:space="preserve">     3.</t>
  </si>
  <si>
    <t xml:space="preserve"> 회사채(또는 기업어음)에 대한 신용평가등급 및 기업신용평가에 따른 평점이 다른 경우에는 높은 평점으로 평가하며, 등급확인서를 제출하지 않은 경우에는 0점으로 평가합니다.</t>
    <phoneticPr fontId="2" type="noConversion"/>
  </si>
  <si>
    <t xml:space="preserve"> 2.</t>
    <phoneticPr fontId="23" type="noConversion"/>
  </si>
  <si>
    <t>     </t>
    <phoneticPr fontId="2" type="noConversion"/>
  </si>
  <si>
    <t>증빙서류는 공인회계사 또는 세무사가 증명한 최근 3회계년 투자실적입니다.</t>
    <phoneticPr fontId="23" type="noConversion"/>
  </si>
  <si>
    <t>(단, 투자실적에서 R&amp;D사업 참여실적에 적용된 실적금액은 제외)</t>
    <phoneticPr fontId="23" type="noConversion"/>
  </si>
  <si>
    <t>주) 1.</t>
    <phoneticPr fontId="23" type="noConversion"/>
  </si>
  <si>
    <t>전차용역명</t>
  </si>
  <si>
    <t>계약금액</t>
  </si>
  <si>
    <t>성명</t>
  </si>
  <si>
    <t xml:space="preserve">해당 전차용역 현황을 기재하시기 바랍니다. </t>
    <phoneticPr fontId="23" type="noConversion"/>
  </si>
  <si>
    <t xml:space="preserve">전차용역수행 현황 </t>
    <phoneticPr fontId="2" type="noConversion"/>
  </si>
  <si>
    <t>1. 점수입력시              색으로 표시된 부분에 입력하도록 하고, 산식으로 계산된 부분은 입력하지 않습니다.</t>
    <phoneticPr fontId="2" type="noConversion"/>
  </si>
  <si>
    <t>년도별</t>
    <phoneticPr fontId="2" type="noConversion"/>
  </si>
  <si>
    <t>주) 1.</t>
    <phoneticPr fontId="23" type="noConversion"/>
  </si>
  <si>
    <t>사업책임기술자, 분야별책임기술자별로 작성합니다.</t>
    <phoneticPr fontId="23" type="noConversion"/>
  </si>
  <si>
    <t>용역계약서사본, 참여기술자명단 등 현재 수행중인 용역현황을 파악할 수 있는 증빙서류를 첨부합니다.</t>
    <phoneticPr fontId="23" type="noConversion"/>
  </si>
  <si>
    <t>현재 중지중인 용역에 대하여도 모두 기재하시기 바라며, 이경우에 해당시 중지일 및 중지사유 기재. 공사발주완료된 경우는 확인할수 있는 근거서류 제출합니다.</t>
    <phoneticPr fontId="23" type="noConversion"/>
  </si>
  <si>
    <t>기입란이 부족한 경우 행 삽입,삭제가 가능하며, 행삽입,삭제시 실적이 합계에서 누락되지 않도록 반드시 확인(중첩도 시트) 주의해야 합니다</t>
    <phoneticPr fontId="23" type="noConversion"/>
  </si>
  <si>
    <t>종류</t>
    <phoneticPr fontId="23" type="noConversion"/>
  </si>
  <si>
    <t>기술명</t>
    <phoneticPr fontId="2" type="noConversion"/>
  </si>
  <si>
    <t>경과기간
가중치</t>
    <phoneticPr fontId="23" type="noConversion"/>
  </si>
  <si>
    <t>실적
금액
(백만원)</t>
    <phoneticPr fontId="23" type="noConversion"/>
  </si>
  <si>
    <t>점수</t>
    <phoneticPr fontId="23" type="noConversion"/>
  </si>
  <si>
    <t>신기술</t>
    <phoneticPr fontId="23" type="noConversion"/>
  </si>
  <si>
    <t>특허</t>
    <phoneticPr fontId="23" type="noConversion"/>
  </si>
  <si>
    <t>특허 소계</t>
    <phoneticPr fontId="23" type="noConversion"/>
  </si>
  <si>
    <t>실용신안 소계</t>
    <phoneticPr fontId="23" type="noConversion"/>
  </si>
  <si>
    <t>건설신기술</t>
    <phoneticPr fontId="23" type="noConversion"/>
  </si>
  <si>
    <t>특허 5년미만 소계</t>
    <phoneticPr fontId="23" type="noConversion"/>
  </si>
  <si>
    <t>실용신안 10년미만 소계</t>
    <phoneticPr fontId="23" type="noConversion"/>
  </si>
  <si>
    <t>실용신안 5년미만 소계</t>
    <phoneticPr fontId="23" type="noConversion"/>
  </si>
  <si>
    <t>입찰공고일 :</t>
    <phoneticPr fontId="23" type="noConversion"/>
  </si>
  <si>
    <t>주) 1.</t>
    <phoneticPr fontId="23" type="noConversion"/>
  </si>
  <si>
    <t>증빙서류 좌측에 연번을 반드시 기재후 연번순서대로 제본하여야 합니다.</t>
    <phoneticPr fontId="23" type="noConversion"/>
  </si>
  <si>
    <t xml:space="preserve"> 2.</t>
    <phoneticPr fontId="23" type="noConversion"/>
  </si>
  <si>
    <t>경과기간은 출원일로부터 경과기간을 기재해야 하며, 2인이상 출원시 출원인수로 나누어 산정한 건수로 산정되어집니다.</t>
    <phoneticPr fontId="23" type="noConversion"/>
  </si>
  <si>
    <t xml:space="preserve"> 3.</t>
    <phoneticPr fontId="23" type="noConversion"/>
  </si>
  <si>
    <t>증빙서류는 최근 1월 이내에 관할기관에서 발행한 등본이어야 합니다.</t>
    <phoneticPr fontId="23" type="noConversion"/>
  </si>
  <si>
    <t>준공
금액
(백만원)</t>
    <phoneticPr fontId="2" type="noConversion"/>
  </si>
  <si>
    <t>사업책임
기술자</t>
    <phoneticPr fontId="2" type="noConversion"/>
  </si>
  <si>
    <t>지정
번호</t>
    <phoneticPr fontId="23" type="noConversion"/>
  </si>
  <si>
    <t>배점기준</t>
    <phoneticPr fontId="2" type="noConversion"/>
  </si>
  <si>
    <t>계</t>
  </si>
  <si>
    <t>해당분야</t>
    <phoneticPr fontId="2" type="noConversion"/>
  </si>
  <si>
    <t>중복건수</t>
    <phoneticPr fontId="2" type="noConversion"/>
  </si>
  <si>
    <t>평가대상 인원수</t>
    <phoneticPr fontId="2" type="noConversion"/>
  </si>
  <si>
    <t>사업수행능력평가 참가업체</t>
    <phoneticPr fontId="2" type="noConversion"/>
  </si>
  <si>
    <t>과업참여기간이 30일 이상인 용역 참여건의 참여기간을 전체 계약기간 중 실제 참여기간에 대한 비율로 평가합니다.
다만, 최대용역기간은 24개월을 초과할 수 없도록 산식이 되어 있으며, 참여개월수 또한 24개월을 초과할 수 없습니다.
예를 들어 실제 용역기간이 48개월이고, 그 중에 24개월만 참여한 경우에는 비율 100% 적용을 받습니다.</t>
    <phoneticPr fontId="23" type="noConversion"/>
  </si>
  <si>
    <t>용역실적증명서의 참여기술자 명단이 누락 되었거나, 참여기술자 명단에 해당 참여기술자가 누락된 경우에는 해당실적을 인정하지 않습니다.</t>
    <phoneticPr fontId="23" type="noConversion"/>
  </si>
  <si>
    <t>실적건수
(건)</t>
    <phoneticPr fontId="2" type="noConversion"/>
  </si>
  <si>
    <t>실적금액
(억원)</t>
    <phoneticPr fontId="2" type="noConversion"/>
  </si>
  <si>
    <t>계약기간
(일)</t>
    <phoneticPr fontId="23" type="noConversion"/>
  </si>
  <si>
    <t>잔여기간
(일)</t>
    <phoneticPr fontId="23" type="noConversion"/>
  </si>
  <si>
    <t>용역중지기간은 용역기간 및 참여기간에 포함시키지 않습니다.</t>
    <phoneticPr fontId="23" type="noConversion"/>
  </si>
  <si>
    <t>현재 중지중인 용역에 대하여도 모두 기재하시기 바라며, 중복금액합계나 중복적용건수에는 반영하지 않습니다. 
이경우에 해당시 중지일 및 중지사유 기재. 공사발주완료된 경우는 확인할수 있는 근거서류를 제시한경우만 인정합니다.</t>
    <phoneticPr fontId="23" type="noConversion"/>
  </si>
  <si>
    <t xml:space="preserve">공고일기준 잔여과업기간이 3개월이상인 용역에 대하여 작성합니다. </t>
    <phoneticPr fontId="23" type="noConversion"/>
  </si>
  <si>
    <t xml:space="preserve">   2.</t>
    <phoneticPr fontId="23" type="noConversion"/>
  </si>
  <si>
    <t xml:space="preserve">   3.</t>
    <phoneticPr fontId="23" type="noConversion"/>
  </si>
  <si>
    <t xml:space="preserve">   4.</t>
    <phoneticPr fontId="23" type="noConversion"/>
  </si>
  <si>
    <t>사업책임</t>
    <phoneticPr fontId="23" type="noConversion"/>
  </si>
  <si>
    <t>구분</t>
    <phoneticPr fontId="23" type="noConversion"/>
  </si>
  <si>
    <t>중첩률</t>
    <phoneticPr fontId="23" type="noConversion"/>
  </si>
  <si>
    <t>분야별책임</t>
    <phoneticPr fontId="23" type="noConversion"/>
  </si>
  <si>
    <t>평점</t>
    <phoneticPr fontId="23" type="noConversion"/>
  </si>
  <si>
    <t>벌점여부</t>
    <phoneticPr fontId="23" type="noConversion"/>
  </si>
  <si>
    <t>배점기준</t>
    <phoneticPr fontId="23" type="noConversion"/>
  </si>
  <si>
    <t>면적가중치적용</t>
    <phoneticPr fontId="2" type="noConversion"/>
  </si>
  <si>
    <t>기준면적</t>
    <phoneticPr fontId="2" type="noConversion"/>
  </si>
  <si>
    <t>발주면적</t>
    <phoneticPr fontId="2" type="noConversion"/>
  </si>
  <si>
    <t>면적가중치</t>
    <phoneticPr fontId="2" type="noConversion"/>
  </si>
  <si>
    <t>발주금액</t>
    <phoneticPr fontId="2" type="noConversion"/>
  </si>
  <si>
    <t>면적기준</t>
    <phoneticPr fontId="2" type="noConversion"/>
  </si>
  <si>
    <t>보정계수</t>
    <phoneticPr fontId="2" type="noConversion"/>
  </si>
  <si>
    <t>직선보간법적용</t>
    <phoneticPr fontId="2" type="noConversion"/>
  </si>
  <si>
    <t>소계</t>
    <phoneticPr fontId="2" type="noConversion"/>
  </si>
  <si>
    <t>3년이내</t>
    <phoneticPr fontId="2" type="noConversion"/>
  </si>
  <si>
    <t>5년이내</t>
    <phoneticPr fontId="2" type="noConversion"/>
  </si>
  <si>
    <t>참여도</t>
    <phoneticPr fontId="2" type="noConversion"/>
  </si>
  <si>
    <t>분야별책임기술자</t>
    <phoneticPr fontId="2" type="noConversion"/>
  </si>
  <si>
    <t>건별산정기준</t>
    <phoneticPr fontId="2" type="noConversion"/>
  </si>
  <si>
    <t>기술자</t>
    <phoneticPr fontId="2" type="noConversion"/>
  </si>
  <si>
    <t>보정계수적용금액</t>
    <phoneticPr fontId="2" type="noConversion"/>
  </si>
  <si>
    <t>분책소계</t>
    <phoneticPr fontId="23" type="noConversion"/>
  </si>
  <si>
    <t>부실벌점 현황</t>
    <phoneticPr fontId="2" type="noConversion"/>
  </si>
  <si>
    <t>1) 참여업체 부실벌점</t>
    <phoneticPr fontId="2" type="noConversion"/>
  </si>
  <si>
    <t>공동도급인 경우에는 업체명과 각 해당 지분율을 입력합니다.</t>
    <phoneticPr fontId="2" type="noConversion"/>
  </si>
  <si>
    <t>항     목</t>
    <phoneticPr fontId="2" type="noConversion"/>
  </si>
  <si>
    <t>산   식</t>
    <phoneticPr fontId="2" type="noConversion"/>
  </si>
  <si>
    <t>분야별책임기술자</t>
    <phoneticPr fontId="2" type="noConversion"/>
  </si>
  <si>
    <t>사업책임</t>
    <phoneticPr fontId="2" type="noConversion"/>
  </si>
  <si>
    <t>참여기술자 
전문분야 별 비율</t>
    <phoneticPr fontId="2" type="noConversion"/>
  </si>
  <si>
    <t>주)1.</t>
    <phoneticPr fontId="23" type="noConversion"/>
  </si>
  <si>
    <t>위 양식은 단지조성공사 설계용역에 해당하며, 2억원 실적기준이 적용되지 않는 용역의 경우에는 양식을 수정하여 작성바랍니다. 단, 최종 점수 셀은 유지해야 점수가 합산되오니 주의 바랍니다.</t>
    <phoneticPr fontId="23" type="noConversion"/>
  </si>
  <si>
    <t>사업책임
OR
분야별책임</t>
    <phoneticPr fontId="2" type="noConversion"/>
  </si>
  <si>
    <t xml:space="preserve">   5.</t>
    <phoneticPr fontId="23" type="noConversion"/>
  </si>
  <si>
    <t>참여기술자</t>
    <phoneticPr fontId="2" type="noConversion"/>
  </si>
  <si>
    <t>3. 전차용역</t>
    <phoneticPr fontId="2" type="noConversion"/>
  </si>
  <si>
    <t>우수(하위)업체</t>
    <phoneticPr fontId="2" type="noConversion"/>
  </si>
  <si>
    <t>우수업체</t>
    <phoneticPr fontId="2" type="noConversion"/>
  </si>
  <si>
    <t>하위업체</t>
    <phoneticPr fontId="2" type="noConversion"/>
  </si>
  <si>
    <t>+1</t>
    <phoneticPr fontId="2" type="noConversion"/>
  </si>
  <si>
    <t>○ 교육훈련 및 전차용역(2점)</t>
    <phoneticPr fontId="2" type="noConversion"/>
  </si>
  <si>
    <t>구 분</t>
    <phoneticPr fontId="2" type="noConversion"/>
  </si>
  <si>
    <t>항목</t>
    <phoneticPr fontId="2" type="noConversion"/>
  </si>
  <si>
    <t>등급</t>
    <phoneticPr fontId="2" type="noConversion"/>
  </si>
  <si>
    <t>이적계수</t>
    <phoneticPr fontId="2" type="noConversion"/>
  </si>
  <si>
    <t>평가</t>
    <phoneticPr fontId="2" type="noConversion"/>
  </si>
  <si>
    <t>사업책임기술자</t>
    <phoneticPr fontId="2" type="noConversion"/>
  </si>
  <si>
    <t>특급</t>
    <phoneticPr fontId="2" type="noConversion"/>
  </si>
  <si>
    <t>기술능력</t>
    <phoneticPr fontId="2" type="noConversion"/>
  </si>
  <si>
    <t>업무관리</t>
    <phoneticPr fontId="2" type="noConversion"/>
  </si>
  <si>
    <t>분야별 책임기술자</t>
    <phoneticPr fontId="2" type="noConversion"/>
  </si>
  <si>
    <t>점수</t>
    <phoneticPr fontId="2" type="noConversion"/>
  </si>
  <si>
    <t>분야별 참여기술자</t>
    <phoneticPr fontId="2" type="noConversion"/>
  </si>
  <si>
    <t>능력</t>
    <phoneticPr fontId="2" type="noConversion"/>
  </si>
  <si>
    <t>경력</t>
    <phoneticPr fontId="2" type="noConversion"/>
  </si>
  <si>
    <t>실적</t>
    <phoneticPr fontId="2" type="noConversion"/>
  </si>
  <si>
    <t>교육훈련(1점)</t>
    <phoneticPr fontId="2" type="noConversion"/>
  </si>
  <si>
    <t>2주이상</t>
    <phoneticPr fontId="2" type="noConversion"/>
  </si>
  <si>
    <t>1주이상</t>
    <phoneticPr fontId="2" type="noConversion"/>
  </si>
  <si>
    <t>전차용역 (1점)</t>
    <phoneticPr fontId="2" type="noConversion"/>
  </si>
  <si>
    <t>전차용역범위</t>
    <phoneticPr fontId="2" type="noConversion"/>
  </si>
  <si>
    <t>시간경과</t>
    <phoneticPr fontId="2" type="noConversion"/>
  </si>
  <si>
    <t>참여도</t>
    <phoneticPr fontId="2" type="noConversion"/>
  </si>
  <si>
    <t>참여기술자 교육실적</t>
    <phoneticPr fontId="2" type="noConversion"/>
  </si>
  <si>
    <t>참여분야</t>
    <phoneticPr fontId="2" type="noConversion"/>
  </si>
  <si>
    <t>성     명</t>
    <phoneticPr fontId="2" type="noConversion"/>
  </si>
  <si>
    <t>교육과정명</t>
    <phoneticPr fontId="2" type="noConversion"/>
  </si>
  <si>
    <t>교육기간</t>
    <phoneticPr fontId="2" type="noConversion"/>
  </si>
  <si>
    <t>교육기관</t>
    <phoneticPr fontId="2" type="noConversion"/>
  </si>
  <si>
    <t>평점</t>
    <phoneticPr fontId="2" type="noConversion"/>
  </si>
  <si>
    <t>용역참여기술자 참여율</t>
    <phoneticPr fontId="2" type="noConversion"/>
  </si>
  <si>
    <t>전차참여분야</t>
    <phoneticPr fontId="2" type="noConversion"/>
  </si>
  <si>
    <t>경과기간(년)</t>
    <phoneticPr fontId="2" type="noConversion"/>
  </si>
  <si>
    <t>계약기간(월)</t>
    <phoneticPr fontId="2" type="noConversion"/>
  </si>
  <si>
    <t>참여기간(월)</t>
    <phoneticPr fontId="2" type="noConversion"/>
  </si>
  <si>
    <t>참여적용비율</t>
    <phoneticPr fontId="2" type="noConversion"/>
  </si>
  <si>
    <t xml:space="preserve">해당 전차용역 현황을 기재하시기 바랍니다. </t>
    <phoneticPr fontId="23" type="noConversion"/>
  </si>
  <si>
    <t>용역에 참여한 기술자(사책,분책)현황을 기재합니다.</t>
    <phoneticPr fontId="23" type="noConversion"/>
  </si>
  <si>
    <t>계약기간</t>
    <phoneticPr fontId="2" type="noConversion"/>
  </si>
  <si>
    <t>공동도급현황</t>
    <phoneticPr fontId="2" type="noConversion"/>
  </si>
  <si>
    <t>착공일</t>
    <phoneticPr fontId="2" type="noConversion"/>
  </si>
  <si>
    <t>준공일</t>
    <phoneticPr fontId="2" type="noConversion"/>
  </si>
  <si>
    <t>업체명</t>
    <phoneticPr fontId="2" type="noConversion"/>
  </si>
  <si>
    <t>지분율</t>
    <phoneticPr fontId="2" type="noConversion"/>
  </si>
  <si>
    <t>전차용역의범위</t>
    <phoneticPr fontId="2" type="noConversion"/>
  </si>
  <si>
    <t>준공일</t>
    <phoneticPr fontId="2" type="noConversion"/>
  </si>
  <si>
    <t>부실벌점</t>
    <phoneticPr fontId="2" type="noConversion"/>
  </si>
  <si>
    <t>업체</t>
    <phoneticPr fontId="2" type="noConversion"/>
  </si>
  <si>
    <t>우수(하위)
용역업자</t>
    <phoneticPr fontId="2" type="noConversion"/>
  </si>
  <si>
    <t>평 가</t>
    <phoneticPr fontId="2" type="noConversion"/>
  </si>
  <si>
    <t>-0.5</t>
    <phoneticPr fontId="2" type="noConversion"/>
  </si>
  <si>
    <t>2.기술능력</t>
    <phoneticPr fontId="2" type="noConversion"/>
  </si>
  <si>
    <t>3.업무관리능력</t>
    <phoneticPr fontId="2" type="noConversion"/>
  </si>
  <si>
    <t>4. 경력</t>
    <phoneticPr fontId="2" type="noConversion"/>
  </si>
  <si>
    <t>5. 실적</t>
    <phoneticPr fontId="2" type="noConversion"/>
  </si>
  <si>
    <t>6. 전차용역</t>
    <phoneticPr fontId="2" type="noConversion"/>
  </si>
  <si>
    <t>1.등급</t>
    <phoneticPr fontId="2" type="noConversion"/>
  </si>
  <si>
    <t xml:space="preserve">2. 각 실적 입력 시트에  </t>
    <phoneticPr fontId="2" type="noConversion"/>
  </si>
  <si>
    <t>3. 각 기술자별 시트의 유사용역 제외금액란에는 공고시 유사용역 범위 외에 해당하는 용역금액을 기입합니다.</t>
    <phoneticPr fontId="2" type="noConversion"/>
  </si>
  <si>
    <t>4. 만약 평가지침과 본 평가표 양식의 차이가 발생할 시에는 평가지침의 내용을 따릅니다.</t>
    <phoneticPr fontId="2" type="noConversion"/>
  </si>
  <si>
    <t xml:space="preserve">6. 평가부서에서는 업체에서 제출한 작성표를 근거로 관련 증빙자료 검증 후 점수를 조정할 수 있습니다. </t>
    <phoneticPr fontId="2" type="noConversion"/>
  </si>
  <si>
    <t>7. 엑셀수식오류 및 업체의 양식임의변경으로 발생될 수 있는 오류에 대하여는 당사에서 책임지지 않으니, 
    업체산정점수와 엑셀산출점수를 확인 후 제출바랍니다.</t>
    <phoneticPr fontId="2" type="noConversion"/>
  </si>
  <si>
    <t>8. 본 엑셀양식은 가로인쇄로 작성되어 있으며  인쇄후 평가서 제본시에는 접지않고 세로로 편철하여 제출하시기 바랍니다.</t>
    <phoneticPr fontId="2" type="noConversion"/>
  </si>
  <si>
    <t>9. 추가로 증빙자료의 총괄 설명이 필요할시에는 임의양식으로 작성제출 하시기 바랍니다.</t>
    <phoneticPr fontId="2" type="noConversion"/>
  </si>
  <si>
    <t>색으로 표시된 셀은 집계표의 참조셀이므로 절대로 삭제하면 안됩니다.</t>
    <phoneticPr fontId="2" type="noConversion"/>
  </si>
  <si>
    <t>20점 이상</t>
    <phoneticPr fontId="2" type="noConversion"/>
  </si>
  <si>
    <t>1점이상 2점미만</t>
    <phoneticPr fontId="2" type="noConversion"/>
  </si>
  <si>
    <t>2점이상 5점미만</t>
    <phoneticPr fontId="2" type="noConversion"/>
  </si>
  <si>
    <t>5점이상 10점미만</t>
    <phoneticPr fontId="2" type="noConversion"/>
  </si>
  <si>
    <t>10점이상 15점미만</t>
    <phoneticPr fontId="2" type="noConversion"/>
  </si>
  <si>
    <t>15점이상 20점미만</t>
    <phoneticPr fontId="2" type="noConversion"/>
  </si>
  <si>
    <t>참여기간</t>
    <phoneticPr fontId="2" type="noConversion"/>
  </si>
  <si>
    <t>영향평가, 기본및 실시설계, 실시계획 등의 유사용역 외의 실적에 해당금액은 유사용역 제외금액에 입력합니다.</t>
    <phoneticPr fontId="23" type="noConversion"/>
  </si>
  <si>
    <t xml:space="preserve">업체의 실적금액은 금번 시행하는 용역의 지침상 인정하는 범위에 해당하는 금액만을 실적으로 인정합니다. 
발주청에서 시행한 지구단위계획용역 또는 과업내용 중 지구단위계획이 포함된 용역으로서 
기본계획, 개발계획용역을 같이 수행한 경우에는 기본계획, 개발계획의 실적금액(설계관련 실적제외)을 모두 인정합니다. 
단, 과업포함여부 확인은 발주청에서 발급한 실적증명서 상 과업내용으로 명확하게 명시된 경우에 한하여 인정합니다. </t>
    <phoneticPr fontId="23" type="noConversion"/>
  </si>
  <si>
    <t>5.</t>
    <phoneticPr fontId="23" type="noConversion"/>
  </si>
  <si>
    <t>6.</t>
    <phoneticPr fontId="23" type="noConversion"/>
  </si>
  <si>
    <t>7.</t>
    <phoneticPr fontId="23" type="noConversion"/>
  </si>
  <si>
    <t>3,</t>
    <phoneticPr fontId="23" type="noConversion"/>
  </si>
  <si>
    <t>4,</t>
    <phoneticPr fontId="23" type="noConversion"/>
  </si>
  <si>
    <t>도시계획</t>
    <phoneticPr fontId="2" type="noConversion"/>
  </si>
  <si>
    <t>□ 투자실적(10점)</t>
    <phoneticPr fontId="2" type="noConversion"/>
  </si>
  <si>
    <t xml:space="preserve">근거법: 택지개발촉진법 </t>
    <phoneticPr fontId="23" type="noConversion"/>
  </si>
  <si>
    <t>인천도시공사</t>
  </si>
  <si>
    <t>경기도시공사</t>
  </si>
  <si>
    <t>금곡지구 택지개발사업 조사설계용역</t>
  </si>
  <si>
    <t>괴산발효식품농공단지실시설계용역</t>
  </si>
  <si>
    <t>괴산군</t>
  </si>
  <si>
    <t>전차용역 (1점)
(배점한도)</t>
    <phoneticPr fontId="2" type="noConversion"/>
  </si>
  <si>
    <t xml:space="preserve"> </t>
    <phoneticPr fontId="2" type="noConversion"/>
  </si>
  <si>
    <t>참여
지분율</t>
    <phoneticPr fontId="2" type="noConversion"/>
  </si>
  <si>
    <t>중복기간합계
(개월)</t>
    <phoneticPr fontId="23" type="noConversion"/>
  </si>
  <si>
    <t>2</t>
    <phoneticPr fontId="23" type="noConversion"/>
  </si>
  <si>
    <t>PQ서류 제출일기준 잔여과업기간이 3개월이상인 용역에 대하여 작성합니다.</t>
    <phoneticPr fontId="23" type="noConversion"/>
  </si>
  <si>
    <t>3</t>
    <phoneticPr fontId="23" type="noConversion"/>
  </si>
  <si>
    <t>4</t>
    <phoneticPr fontId="23" type="noConversion"/>
  </si>
  <si>
    <t>ㄱ 형 perfobond리브 전단연결재를 적용한 콘크리트 충전강관거더 교량 시공기술</t>
  </si>
  <si>
    <t>강관 내·외부 또는 내부에 ㄱ형 돌기를 갖는 부착보강재(perfobond리브 전단열재)를 설치하고 콘크리트를 강관에 충전함으로써 충전콘크리트 또는 바닥판과 강관간의 합성거동효과 증대로 거더의 휨내력을 증진시킨 CFT(Concrete Filled Tubular)거더 교량 시공기술이다</t>
  </si>
  <si>
    <t>특허</t>
  </si>
  <si>
    <t>은평지구 뉴타운 도시개발사업 조사설계 용역</t>
  </si>
  <si>
    <t>소계</t>
    <phoneticPr fontId="23" type="noConversion"/>
  </si>
  <si>
    <t xml:space="preserve"> - 설계업체 근무실적 양식</t>
    <phoneticPr fontId="23" type="noConversion"/>
  </si>
  <si>
    <t>번호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</si>
  <si>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</si>
  <si>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</si>
  <si>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</si>
  <si>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준공금액
(백만원)</t>
    <phoneticPr fontId="2" type="noConversion"/>
  </si>
  <si>
    <t>용역기간</t>
    <phoneticPr fontId="2" type="noConversion"/>
  </si>
  <si>
    <t>용역참여기간</t>
    <phoneticPr fontId="23" type="noConversion"/>
  </si>
  <si>
    <t xml:space="preserve">▣근거법:산업입지및개발에관한법률
위치:경기도 평택시 오성면 양교리,
 청북면 토진.후사리 일원
면적:600,978㎡ 
토질조사및시험:46,594,900원 
에너지사용계획:38,326,000원
기본계획:158,479,200원
기본및실시설계:886,882,700원
광역교통개선대책:22,899,800원
도시기본계획(변경)수립:
88,330,000원
환경영향평가:256,183,400원
사전재해영향성검토:18,969,500원
교통영향평가:137,575,900원
측량:28,411,900원
재해영향평가:50,563,700원
진입도로설계:124,072,300원
인구영향평가:45,497,100원
농업생산기반시설정비:
265,546,900원
</t>
    <phoneticPr fontId="63" type="noConversion"/>
  </si>
  <si>
    <t xml:space="preserve">근거법:택지개발촉진법
면적:A지구:589,570.3㎡
     B지구:217,750㎡
A지구
기본계획:96,913,200원
기본및실시설계:49,638,160원
특수구조물실시설계:
 607,513,000원
지반조사비:100,053,000원
에너지사용계획:65,565,000원
지구단위계획:163,587,000원
문화재지표조사:24,213,440원
추가설계용역비:224,485,879원
손해배상공제료:6,887,321원
부가가치세:127,141,800원
B지구
기본계획:37,412,100원
기본및실시설계:159,323,911원
지반조사비:21,787,400원
지구단위계획:58,914,200원
문화재지표조사:8,758,800원
손해배상공제료:771,658원
추가설계용역비:42,017,931월
부가가치세:31,434,200원
</t>
    <phoneticPr fontId="63" type="noConversion"/>
  </si>
  <si>
    <t>김포한강지구 택지개발사업 조사설계용역</t>
  </si>
  <si>
    <t xml:space="preserve">근거법:택지개발촉진법
위치:경기김포시운양동일원
면적:10,872,190.7㎡
 (연약지반:4,016,000㎡)
토질조사(시추조사338공)
 :1,128,751,800원
기본계획:1,331,973,500원
기본및실시설계
 :6,192,959,300원
조경기본계획:119,732,800원
에너지사용계획:198,631,400원
용역손해보험료:27,283,300원
지구지정제안서:23,852,400원
특수구조물기본및실시설계:
 2,108,506,400원
송전설로이설:161,502,000원
</t>
    <phoneticPr fontId="63" type="noConversion"/>
  </si>
  <si>
    <t xml:space="preserve">근거법:산업입지및개발에관한법률
면적:12,018,189㎡
위치:충청남도당진군석문면삼봉리,
 고대면성산리일원및해면 일부지역
기본계획:582,878,000원
지구단위계획:345,070,000원
기본및실시설계(특수구조물포함):
7,329,819,000원
조경기본계획:155,661,000원 
토질조사:1,104,477,000원
에너지사용계획:190,735,000원
매립재확보방안검토:182,600,000원
</t>
    <phoneticPr fontId="63" type="noConversion"/>
  </si>
  <si>
    <t>김포한강지구 택지개발사업 지구단위계획 및 경관계획수립 용역</t>
  </si>
  <si>
    <t xml:space="preserve">근거법:택지개발촉진법,
 국토의계획및이용에관한법률
위치:경기도김포시운양동일원
면적:10,872,190.7㎡
지구단위계획부문:
 1,049,488,176원
경관계획부문:641,483,824원
</t>
    <phoneticPr fontId="63" type="noConversion"/>
  </si>
  <si>
    <t>토목구조참여기술자 실적</t>
    <phoneticPr fontId="23" type="noConversion"/>
  </si>
  <si>
    <t>토질지질참여기술자 실적</t>
    <phoneticPr fontId="23" type="noConversion"/>
  </si>
  <si>
    <t>토목구조분야
책임기술자 실적</t>
    <phoneticPr fontId="23" type="noConversion"/>
  </si>
  <si>
    <t>도로및공항분야
책임기술자 실적</t>
    <phoneticPr fontId="23" type="noConversion"/>
  </si>
  <si>
    <t>상하수도
참여기술자 실적</t>
    <phoneticPr fontId="23" type="noConversion"/>
  </si>
  <si>
    <t>석문국가산업단지 개발사업 조사설계용역</t>
    <phoneticPr fontId="23" type="noConversion"/>
  </si>
  <si>
    <t>관련근거법:산업입지및개발에관한법률
면적:12,018,189㎡</t>
    <phoneticPr fontId="23" type="noConversion"/>
  </si>
  <si>
    <t>한국토지주택공사당진사업본부</t>
    <phoneticPr fontId="23" type="noConversion"/>
  </si>
  <si>
    <t>대구신서지구 택지개발사업 조사설계용역</t>
    <phoneticPr fontId="23" type="noConversion"/>
  </si>
  <si>
    <t>관련근거법:택지개발촉진법, 공공기관 지방이전에
따른 혁신도시건설 및 지원에 관한 특별법
면적:4,216,496㎡</t>
    <phoneticPr fontId="23" type="noConversion"/>
  </si>
  <si>
    <t>한국토지주택공사대구경북지역본부</t>
    <phoneticPr fontId="23" type="noConversion"/>
  </si>
  <si>
    <t>인천경제자유구역 영종하늘도시 개발사업 조사설계용역(1단계)</t>
    <phoneticPr fontId="23" type="noConversion"/>
  </si>
  <si>
    <t>관련근거법:경제자유구역의지정및운영에관한특별법
면적:15,067,747㎡</t>
    <phoneticPr fontId="23" type="noConversion"/>
  </si>
  <si>
    <t>한국토지주택공사 청라영종사업본부</t>
    <phoneticPr fontId="23" type="noConversion"/>
  </si>
  <si>
    <t>행복도시 첫마을사업 도시조성공사 설계용역</t>
    <phoneticPr fontId="23" type="noConversion"/>
  </si>
  <si>
    <t>·관련근거법:행정중심 복합도시건설을 위한 특별법
·면적:1,130,000㎡</t>
    <phoneticPr fontId="23" type="noConversion"/>
  </si>
  <si>
    <t>강관말뚝과 PHC말뚝을 결합구로 용접시킨 매입형 복합말뚝(HCP:Hybrid Composite Pile)의 설계 및 시공 방법</t>
    <phoneticPr fontId="23" type="noConversion"/>
  </si>
  <si>
    <t>거더 단부의 상부에 긴장재의 이완과 재긴장이 가능한 정착시스템을 이용한 프리스트레스트 콘크리트 거더 공법</t>
    <phoneticPr fontId="23" type="noConversion"/>
  </si>
  <si>
    <t>PSC I형 거더의 상연에 강판을 매설하고 부모멘트 구간에 강판 및 강선을 연결한 교량의 연속화 공법</t>
    <phoneticPr fontId="2" type="noConversion"/>
  </si>
  <si>
    <t>1점미만 (감점없음)</t>
    <phoneticPr fontId="2" type="noConversion"/>
  </si>
  <si>
    <t>1점미만 (감점없음)</t>
    <phoneticPr fontId="2" type="noConversion"/>
  </si>
  <si>
    <t xml:space="preserve"> - 개발계획</t>
    <phoneticPr fontId="23" type="noConversion"/>
  </si>
  <si>
    <t>강원발전연구원</t>
    <phoneticPr fontId="23" type="noConversion"/>
  </si>
  <si>
    <t xml:space="preserve"> - 지구단위계획</t>
    <phoneticPr fontId="23" type="noConversion"/>
  </si>
  <si>
    <t>부산도시공사</t>
    <phoneticPr fontId="23" type="noConversion"/>
  </si>
  <si>
    <t xml:space="preserve">근거법: 택지개발촉진법 </t>
    <phoneticPr fontId="23" type="noConversion"/>
  </si>
  <si>
    <t>한국토지주택공사</t>
    <phoneticPr fontId="23" type="noConversion"/>
  </si>
  <si>
    <t>도시계획</t>
    <phoneticPr fontId="23" type="noConversion"/>
  </si>
  <si>
    <t xml:space="preserve">근거법: 산입법 </t>
    <phoneticPr fontId="23" type="noConversion"/>
  </si>
  <si>
    <t>강원도개발공사</t>
    <phoneticPr fontId="23" type="noConversion"/>
  </si>
  <si>
    <t>매곡2 일반산업단지 계획수립용역</t>
    <phoneticPr fontId="2" type="noConversion"/>
  </si>
  <si>
    <t>울산광역시</t>
    <phoneticPr fontId="2" type="noConversion"/>
  </si>
  <si>
    <t>반송 일반산업단지 계획수립용역</t>
    <phoneticPr fontId="2" type="noConversion"/>
  </si>
  <si>
    <t xml:space="preserve">근거법: 도시개발법 </t>
    <phoneticPr fontId="23" type="noConversion"/>
  </si>
  <si>
    <t>성남판교지구 택지개발사업 조사설계
용역(1단계)</t>
    <phoneticPr fontId="23" type="noConversion"/>
  </si>
  <si>
    <t>횡성둔내 일반지방산업단지 개발계획
수립용역</t>
    <phoneticPr fontId="23" type="noConversion"/>
  </si>
  <si>
    <t>경서3구역도시개발사업실시계획
수립용역</t>
    <phoneticPr fontId="2" type="noConversion"/>
  </si>
  <si>
    <t>화성향남2지구 택지개발사업 
조사설계용역</t>
    <phoneticPr fontId="23" type="noConversion"/>
  </si>
  <si>
    <t>인천광역시 
서구청</t>
    <phoneticPr fontId="2" type="noConversion"/>
  </si>
  <si>
    <t>부산.진해경제자유구역 미음지구 
개발사업 조사설계용역</t>
    <phoneticPr fontId="23" type="noConversion"/>
  </si>
  <si>
    <t xml:space="preserve">근거법: 경제자유구역의 지정 및 운영에 
관한 법률, 산입법 </t>
    <phoneticPr fontId="23" type="noConversion"/>
  </si>
  <si>
    <t>시화2단계(송산그린시티)개발사업
제3공구기본및실시설계용역</t>
    <phoneticPr fontId="2" type="noConversion"/>
  </si>
  <si>
    <t>구미국가산업단지 확장단지 조성사업 
지구단위계획 용역</t>
    <phoneticPr fontId="23" type="noConversion"/>
  </si>
  <si>
    <t>동해안권 경제자유구역 지정을 위한 
개발계획수립용역중 기술및도면작성
부문 위탁용역</t>
    <phoneticPr fontId="23" type="noConversion"/>
  </si>
  <si>
    <t>평택오성산업단지조성사업조사설계
용역</t>
    <phoneticPr fontId="2" type="noConversion"/>
  </si>
  <si>
    <t>상하수도</t>
  </si>
  <si>
    <t>번호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</si>
  <si>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</si>
  <si>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</si>
  <si>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</si>
  <si>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준공금액
(백만원)</t>
    <phoneticPr fontId="2" type="noConversion"/>
  </si>
  <si>
    <t>용역기간</t>
    <phoneticPr fontId="2" type="noConversion"/>
  </si>
  <si>
    <t>용역참여기간</t>
    <phoneticPr fontId="23" type="noConversion"/>
  </si>
  <si>
    <t>참여
 전문분야</t>
    <phoneticPr fontId="23" type="noConversion"/>
  </si>
  <si>
    <t>유사용역
제외금액
(백만원)</t>
    <phoneticPr fontId="23" type="noConversion"/>
  </si>
  <si>
    <t>유사용역
분야금액
(백만원)</t>
    <phoneticPr fontId="23" type="noConversion"/>
  </si>
  <si>
    <t>실적
적용
구간</t>
    <phoneticPr fontId="23" type="noConversion"/>
  </si>
  <si>
    <t>적용
건수</t>
    <phoneticPr fontId="23" type="noConversion"/>
  </si>
  <si>
    <t>비고</t>
    <phoneticPr fontId="23" type="noConversion"/>
  </si>
  <si>
    <t>용역
착수일</t>
    <phoneticPr fontId="23" type="noConversion"/>
  </si>
  <si>
    <t>용역
준공일</t>
    <phoneticPr fontId="23" type="noConversion"/>
  </si>
  <si>
    <t>용역기간
(일)</t>
    <phoneticPr fontId="23" type="noConversion"/>
  </si>
  <si>
    <t>참여
개시일</t>
    <phoneticPr fontId="23" type="noConversion"/>
  </si>
  <si>
    <t>참여
종료일</t>
    <phoneticPr fontId="23" type="noConversion"/>
  </si>
  <si>
    <t>참여기간
(일)</t>
    <phoneticPr fontId="23" type="noConversion"/>
  </si>
  <si>
    <t>안성공도지구 택지개발사업 조사설계 용역</t>
  </si>
  <si>
    <t xml:space="preserve">▣근거법:택지개발촉진법
위치 : 안성시 공도읍 만정리,
       승두리,용두리일원
면적 : 478,860.7㎡
항공측량:41,400,000원
토질조사및시험:71,794,000원
기본계획:80,600,000원
기본설계:177,100,000원
실시설계:353,100,000원
환경영향평가:150,200,000원
교통영향평가:107,300,000원
재해영향평가:128,800,000원
지구단위계획:432,200,000원
경관형성계획:55,864,000원
에너지사용계획:58,197,000원
</t>
    <phoneticPr fontId="23" type="noConversion"/>
  </si>
  <si>
    <t>경기지방공사</t>
  </si>
  <si>
    <t>화성계획도시 개발사업 조사설계 용역</t>
  </si>
  <si>
    <t>한국토지공사</t>
  </si>
  <si>
    <t>파주출판문화정보 국가산업단지 2단계 조사설계 용역</t>
  </si>
  <si>
    <t>석문국가 산업단지 개발사업 조사설계용역</t>
  </si>
  <si>
    <t>한국토지주택공사 당진사업본부</t>
  </si>
  <si>
    <t>총계</t>
    <phoneticPr fontId="23" type="noConversion"/>
  </si>
  <si>
    <t>토질지질분야
책임기술자 실적</t>
    <phoneticPr fontId="23" type="noConversion"/>
  </si>
  <si>
    <t>유사용역
제외금액
(백만원)</t>
    <phoneticPr fontId="23" type="noConversion"/>
  </si>
  <si>
    <t>유사용역
분야금액
(백만원)</t>
    <phoneticPr fontId="23" type="noConversion"/>
  </si>
  <si>
    <t>실적
적용
구간</t>
    <phoneticPr fontId="23" type="noConversion"/>
  </si>
  <si>
    <t>적용
건수</t>
    <phoneticPr fontId="23" type="noConversion"/>
  </si>
  <si>
    <t>비고</t>
    <phoneticPr fontId="23" type="noConversion"/>
  </si>
  <si>
    <t>용역
착수일</t>
    <phoneticPr fontId="23" type="noConversion"/>
  </si>
  <si>
    <t>용역
준공일</t>
    <phoneticPr fontId="23" type="noConversion"/>
  </si>
  <si>
    <t>용역기간
(일)</t>
    <phoneticPr fontId="23" type="noConversion"/>
  </si>
  <si>
    <t>참여
개시일</t>
    <phoneticPr fontId="23" type="noConversion"/>
  </si>
  <si>
    <t>참여
종료일</t>
    <phoneticPr fontId="23" type="noConversion"/>
  </si>
  <si>
    <t>참여기간
(일)</t>
    <phoneticPr fontId="23" type="noConversion"/>
  </si>
  <si>
    <t>석문국가산업단지 개발사업 조사설계용역</t>
    <phoneticPr fontId="23" type="noConversion"/>
  </si>
  <si>
    <t>관련근거법:산업입지및개발에관한법률
면적:12,018,189㎡</t>
    <phoneticPr fontId="23" type="noConversion"/>
  </si>
  <si>
    <t>한국토지주택공사당진사업본부</t>
    <phoneticPr fontId="23" type="noConversion"/>
  </si>
  <si>
    <t>토질지질</t>
    <phoneticPr fontId="23" type="noConversion"/>
  </si>
  <si>
    <t>소계</t>
    <phoneticPr fontId="23" type="noConversion"/>
  </si>
  <si>
    <t>총계</t>
    <phoneticPr fontId="23" type="noConversion"/>
  </si>
  <si>
    <t>상하수도분야
책임기술자 실적</t>
    <phoneticPr fontId="23" type="noConversion"/>
  </si>
  <si>
    <t>준공금액
(백만원)</t>
    <phoneticPr fontId="2" type="noConversion"/>
  </si>
  <si>
    <t>용역기간</t>
    <phoneticPr fontId="2" type="noConversion"/>
  </si>
  <si>
    <t>용역참여기간</t>
    <phoneticPr fontId="23" type="noConversion"/>
  </si>
  <si>
    <t>참여
 전문분야</t>
    <phoneticPr fontId="23" type="noConversion"/>
  </si>
  <si>
    <t>유사용역
제외금액
(백만원)</t>
    <phoneticPr fontId="23" type="noConversion"/>
  </si>
  <si>
    <t>유사용역
분야금액
(백만원)</t>
    <phoneticPr fontId="23" type="noConversion"/>
  </si>
  <si>
    <t>실적
적용
구간</t>
    <phoneticPr fontId="23" type="noConversion"/>
  </si>
  <si>
    <t>적용
건수</t>
    <phoneticPr fontId="23" type="noConversion"/>
  </si>
  <si>
    <t>화성청계 및 동지지구 택지개발사업 조사설계용역</t>
    <phoneticPr fontId="23" type="noConversion"/>
  </si>
  <si>
    <t>관련근거법:택지개발촉진법
면적:1,650,144㎡</t>
    <phoneticPr fontId="23" type="noConversion"/>
  </si>
  <si>
    <t>한국토지공사 동탄사업본부</t>
    <phoneticPr fontId="23" type="noConversion"/>
  </si>
  <si>
    <t>상하수도</t>
    <phoneticPr fontId="23" type="noConversion"/>
  </si>
  <si>
    <t>대전도안지구 조성공사 3,4공구 실시설계 및 관리용역</t>
    <phoneticPr fontId="23" type="noConversion"/>
  </si>
  <si>
    <t>관련근거법:택지개발촉진법
면적:2,479,571㎡</t>
    <phoneticPr fontId="23" type="noConversion"/>
  </si>
  <si>
    <t>한국토지주택공사 대전충남지역본부</t>
    <phoneticPr fontId="23" type="noConversion"/>
  </si>
  <si>
    <t>소계</t>
    <phoneticPr fontId="23" type="noConversion"/>
  </si>
  <si>
    <t>총계</t>
    <phoneticPr fontId="23" type="noConversion"/>
  </si>
  <si>
    <t xml:space="preserve"> - 설계업체 근무실적 양식</t>
    <phoneticPr fontId="23" type="noConversion"/>
  </si>
  <si>
    <t>번호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</si>
  <si>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</si>
  <si>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</si>
  <si>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</si>
  <si>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준공금액
(백만원)</t>
    <phoneticPr fontId="2" type="noConversion"/>
  </si>
  <si>
    <t>용역기간</t>
    <phoneticPr fontId="2" type="noConversion"/>
  </si>
  <si>
    <t>용역참여기간</t>
    <phoneticPr fontId="23" type="noConversion"/>
  </si>
  <si>
    <t>참여
 전문분야</t>
    <phoneticPr fontId="23" type="noConversion"/>
  </si>
  <si>
    <t>유사용역
제외금액
(백만원)</t>
    <phoneticPr fontId="23" type="noConversion"/>
  </si>
  <si>
    <t>유사용역
분야금액
(백만원)</t>
    <phoneticPr fontId="23" type="noConversion"/>
  </si>
  <si>
    <t>실적
적용
구간</t>
    <phoneticPr fontId="23" type="noConversion"/>
  </si>
  <si>
    <t>적용
건수</t>
    <phoneticPr fontId="23" type="noConversion"/>
  </si>
  <si>
    <t>비고</t>
    <phoneticPr fontId="23" type="noConversion"/>
  </si>
  <si>
    <t>용역
착수일</t>
    <phoneticPr fontId="23" type="noConversion"/>
  </si>
  <si>
    <t>용역
준공일</t>
    <phoneticPr fontId="23" type="noConversion"/>
  </si>
  <si>
    <t>용역기간
(일)</t>
    <phoneticPr fontId="23" type="noConversion"/>
  </si>
  <si>
    <t>참여
개시일</t>
    <phoneticPr fontId="23" type="noConversion"/>
  </si>
  <si>
    <t>참여
종료일</t>
    <phoneticPr fontId="23" type="noConversion"/>
  </si>
  <si>
    <t>참여기간
(일)</t>
    <phoneticPr fontId="23" type="noConversion"/>
  </si>
  <si>
    <t>소계</t>
    <phoneticPr fontId="23" type="noConversion"/>
  </si>
  <si>
    <t>총계</t>
    <phoneticPr fontId="23" type="noConversion"/>
  </si>
  <si>
    <t>한국토지주택공사세종시사업본부</t>
    <phoneticPr fontId="23" type="noConversion"/>
  </si>
  <si>
    <t>-</t>
    <phoneticPr fontId="2" type="noConversion"/>
  </si>
  <si>
    <t>입찰공고일 :</t>
    <phoneticPr fontId="23" type="noConversion"/>
  </si>
  <si>
    <t>기술개요</t>
    <phoneticPr fontId="23" type="noConversion"/>
  </si>
  <si>
    <t>최초
출원인</t>
    <phoneticPr fontId="23" type="noConversion"/>
  </si>
  <si>
    <t>출원
인수</t>
    <phoneticPr fontId="23" type="noConversion"/>
  </si>
  <si>
    <t>지정(출원)일</t>
    <phoneticPr fontId="23" type="noConversion"/>
  </si>
  <si>
    <t>건설신기술</t>
    <phoneticPr fontId="23" type="noConversion"/>
  </si>
  <si>
    <t>신기술 소계</t>
    <phoneticPr fontId="23" type="noConversion"/>
  </si>
  <si>
    <t>특허</t>
    <phoneticPr fontId="23" type="noConversion"/>
  </si>
  <si>
    <t xml:space="preserve"> 특허 20년미만 소계</t>
    <phoneticPr fontId="23" type="noConversion"/>
  </si>
  <si>
    <t>특허</t>
    <phoneticPr fontId="23" type="noConversion"/>
  </si>
  <si>
    <t>특허</t>
    <phoneticPr fontId="23" type="noConversion"/>
  </si>
  <si>
    <t>특허 10년미만 소계</t>
    <phoneticPr fontId="23" type="noConversion"/>
  </si>
  <si>
    <t>SH 공사</t>
  </si>
  <si>
    <t>2002-12-30</t>
  </si>
  <si>
    <t>2008-12-02</t>
  </si>
  <si>
    <t xml:space="preserve">
▣근거법:도시개발법
면적 : 3,492,421㎡
기본계획:502,148,815원
기본및실시설계:1,744,167,431원
토질조사:341,897,536원
에너지사용계획:109,847,431원
지구단위계획:633,359,509원
문화재지표조사:25,267,955원
측량:390,058,858원
개발제한구역해제:8,421,600원
환경생태계획수립:8,421,600원
뉴타운기록화사업:85,100,000원
건축설계지침:111,655,000원
진관근린공원 기본계획:
107,045,001원
자원회수시설 기본계획 및 입찰
안내서 작성:128,894,475원
도시환경디자인:156,578,400원
지하수영향분석:85,248,000원
실개천 유지용수공급 방안
:44,862,400원
중심상업용지 개발관련 수요분석
및 시뮬레이션:47,843,400원
재정비촉진계획(변경)수립:
113,302,549원
문화재가치평가학술:46,200,000원
환경영향평가조사:154,156,746원
</t>
    <phoneticPr fontId="2" type="noConversion"/>
  </si>
  <si>
    <t>도로및공항</t>
    <phoneticPr fontId="2" type="noConversion"/>
  </si>
  <si>
    <t>강동권역 택지개발사업 조사설계 용역</t>
  </si>
  <si>
    <t>SH공사</t>
  </si>
  <si>
    <t>2002-04-30</t>
  </si>
  <si>
    <t>2006-01-13</t>
  </si>
  <si>
    <t>근거법: 택지개발촉진법
위치:경기도 공명시 소하동,
하안동 일원
면적: 1,050,358.03㎡
(317,733평)
과업내용:(VAT포함)
개발계획 \ 69,326,000
실시계획(기본설계포함) 
\ 216,796,000
지구단위계획\99,045,000
환경영향평가\189,244,000
교통영향평가\113,145,000
재해영향평가\91,265 000
인구영향평가\54,606,000</t>
    <phoneticPr fontId="2" type="noConversion"/>
  </si>
  <si>
    <t>신기술</t>
  </si>
  <si>
    <t>중복비율 : (수행중인 다른 용역들의 중복기간 합계/해당용역기간×100)</t>
    <phoneticPr fontId="2" type="noConversion"/>
  </si>
  <si>
    <t>"해당사항 없음"</t>
    <phoneticPr fontId="2" type="noConversion"/>
  </si>
  <si>
    <t>○ 등 급(13점[11점])</t>
    <phoneticPr fontId="2" type="noConversion"/>
  </si>
  <si>
    <t>○ 경력 및 실적(35점[37점])</t>
    <phoneticPr fontId="2" type="noConversion"/>
  </si>
  <si>
    <t xml:space="preserve">□ 사업책임기술자(4점)  </t>
    <phoneticPr fontId="2" type="noConversion"/>
  </si>
  <si>
    <t xml:space="preserve">□ 분야별 책임기술자(6점)  </t>
    <phoneticPr fontId="2" type="noConversion"/>
  </si>
  <si>
    <t>도로및공항</t>
    <phoneticPr fontId="23" type="noConversion"/>
  </si>
  <si>
    <t>사업번호</t>
    <phoneticPr fontId="23" type="noConversion"/>
  </si>
  <si>
    <t>종  합  평  가  표</t>
    <phoneticPr fontId="2" type="noConversion"/>
  </si>
  <si>
    <t>평가항목</t>
    <phoneticPr fontId="2" type="noConversion"/>
  </si>
  <si>
    <t>세   부   사   항</t>
    <phoneticPr fontId="2" type="noConversion"/>
  </si>
  <si>
    <t>분 야 별</t>
    <phoneticPr fontId="2" type="noConversion"/>
  </si>
  <si>
    <t>배점</t>
    <phoneticPr fontId="2" type="noConversion"/>
  </si>
  <si>
    <t>항    목</t>
    <phoneticPr fontId="2" type="noConversion"/>
  </si>
  <si>
    <t>배 점</t>
    <phoneticPr fontId="2" type="noConversion"/>
  </si>
  <si>
    <t>Ⅰ.참여
기술자
[50]</t>
    <phoneticPr fontId="2" type="noConversion"/>
  </si>
  <si>
    <t>1. 등급 및 사업책임
   기술자 능력QBS)</t>
    <phoneticPr fontId="2" type="noConversion"/>
  </si>
  <si>
    <t>등급</t>
    <phoneticPr fontId="2" type="noConversion"/>
  </si>
  <si>
    <t>사책</t>
    <phoneticPr fontId="2" type="noConversion"/>
  </si>
  <si>
    <t>분책</t>
    <phoneticPr fontId="2" type="noConversion"/>
  </si>
  <si>
    <t>참여</t>
    <phoneticPr fontId="2" type="noConversion"/>
  </si>
  <si>
    <t>기술능력</t>
    <phoneticPr fontId="2" type="noConversion"/>
  </si>
  <si>
    <t>업무관리능력</t>
    <phoneticPr fontId="2" type="noConversion"/>
  </si>
  <si>
    <t>2. 경력,실적,
   교육훈련,전차용역</t>
    <phoneticPr fontId="2" type="noConversion"/>
  </si>
  <si>
    <t>경력</t>
    <phoneticPr fontId="2" type="noConversion"/>
  </si>
  <si>
    <t>실적</t>
    <phoneticPr fontId="2" type="noConversion"/>
  </si>
  <si>
    <t>교육훈련</t>
    <phoneticPr fontId="2" type="noConversion"/>
  </si>
  <si>
    <t>전차용역(기술자)</t>
    <phoneticPr fontId="2" type="noConversion"/>
  </si>
  <si>
    <t>Ⅱ.참여
업체
[40]</t>
    <phoneticPr fontId="2" type="noConversion"/>
  </si>
  <si>
    <t>3. 유사용역 수행실적</t>
    <phoneticPr fontId="2" type="noConversion"/>
  </si>
  <si>
    <t>최근 5년간</t>
    <phoneticPr fontId="2" type="noConversion"/>
  </si>
  <si>
    <t>건수</t>
    <phoneticPr fontId="2" type="noConversion"/>
  </si>
  <si>
    <t>금액</t>
    <phoneticPr fontId="2" type="noConversion"/>
  </si>
  <si>
    <t>전차용역(업체)</t>
    <phoneticPr fontId="2" type="noConversion"/>
  </si>
  <si>
    <t>4. 신용도</t>
    <phoneticPr fontId="2" type="noConversion"/>
  </si>
  <si>
    <t>제한,정지,부실벌점</t>
    <phoneticPr fontId="2" type="noConversion"/>
  </si>
  <si>
    <t>신용평가등급</t>
    <phoneticPr fontId="2" type="noConversion"/>
  </si>
  <si>
    <t>5. 기술개발 및 투자
   실적</t>
    <phoneticPr fontId="2" type="noConversion"/>
  </si>
  <si>
    <t>개발실적</t>
    <phoneticPr fontId="2" type="noConversion"/>
  </si>
  <si>
    <t>투자실적</t>
    <phoneticPr fontId="2" type="noConversion"/>
  </si>
  <si>
    <t>활용실적</t>
    <phoneticPr fontId="2" type="noConversion"/>
  </si>
  <si>
    <t>Ⅲ.업무중첩도[10]</t>
    <phoneticPr fontId="2" type="noConversion"/>
  </si>
  <si>
    <t>사책</t>
    <phoneticPr fontId="2" type="noConversion"/>
  </si>
  <si>
    <t>분책</t>
    <phoneticPr fontId="2" type="noConversion"/>
  </si>
  <si>
    <t>Ⅳ.가감점</t>
    <phoneticPr fontId="2" type="noConversion"/>
  </si>
  <si>
    <t>가감점</t>
    <phoneticPr fontId="2" type="noConversion"/>
  </si>
  <si>
    <t>계</t>
    <phoneticPr fontId="2" type="noConversion"/>
  </si>
  <si>
    <r>
      <t xml:space="preserve">5. '배점'시트는 평가점수산정시 필요한 기준들을 기입한 시트로 참고만 합니다. 
</t>
    </r>
    <r>
      <rPr>
        <sz val="12"/>
        <color indexed="10"/>
        <rFont val="돋움"/>
        <family val="3"/>
        <charset val="129"/>
      </rPr>
      <t xml:space="preserve">   단, 기술제안서(기술자평가서) 평가 및 QBS미평가시 사업책임기술자의 관련 항목 배점은 조정합니다. </t>
    </r>
    <phoneticPr fontId="2" type="noConversion"/>
  </si>
  <si>
    <t>PQ서류제출일</t>
    <phoneticPr fontId="23" type="noConversion"/>
  </si>
  <si>
    <t>한국수자원공사</t>
  </si>
  <si>
    <t>사업책임기술자 실적</t>
    <phoneticPr fontId="23" type="noConversion"/>
  </si>
  <si>
    <t>용역건수
(지분율
미반영)</t>
    <phoneticPr fontId="23" type="noConversion"/>
  </si>
  <si>
    <t>실적건수
(지분율
반영)</t>
    <phoneticPr fontId="23" type="noConversion"/>
  </si>
  <si>
    <t>도급
지분</t>
    <phoneticPr fontId="23" type="noConversion"/>
  </si>
  <si>
    <t>토목구조</t>
    <phoneticPr fontId="2" type="noConversion"/>
  </si>
  <si>
    <t>상하수도</t>
    <phoneticPr fontId="2" type="noConversion"/>
  </si>
  <si>
    <t>한국토지
주택공사</t>
    <phoneticPr fontId="23" type="noConversion"/>
  </si>
  <si>
    <t>단부의 측면에 설치된 정착장치와 연속 텐던을 이용한 PSC-I형 거더 합성교의 연속화 공법</t>
    <phoneticPr fontId="23" type="noConversion"/>
  </si>
  <si>
    <t>자연분해성 섬유를 이용한 토사 및 풍화암 비탈면 녹화공법</t>
    <phoneticPr fontId="23" type="noConversion"/>
  </si>
  <si>
    <t>PS강봉에 프리스트레스를 도입한 단면력 저감형 PC옹벽공법</t>
    <phoneticPr fontId="23" type="noConversion"/>
  </si>
  <si>
    <t>PCS I형 거더의 상연에 강판을 매설하고 부모멘트 구간에 강판 및 강선을 연결한 교량의 연속화 공법</t>
    <phoneticPr fontId="23" type="noConversion"/>
  </si>
  <si>
    <t>터널 심발부 중앙공 선기폭 및 단계별 V-CUT 발파공법</t>
    <phoneticPr fontId="23" type="noConversion"/>
  </si>
  <si>
    <t>고강도 프리캐스트 패널(LB-DECK)과 전용 작업대차를 활용한 교량 바닥판 시공공법</t>
    <phoneticPr fontId="23" type="noConversion"/>
  </si>
  <si>
    <t>WPC(Wide flange Prestressed Concrete)박스거더 교량공법</t>
    <phoneticPr fontId="23" type="noConversion"/>
  </si>
  <si>
    <t>거더 단부의 상부에 긴장재의 이완과 재긴장이 가능한 정착시스템을 이용한 프리스트레스트 콘크리트 거더 공법</t>
    <phoneticPr fontId="23" type="noConversion"/>
  </si>
  <si>
    <t>LU형으로 3차원 가공된 이형철근을 결합한 강관말뚝 두부보강 공법</t>
    <phoneticPr fontId="23" type="noConversion"/>
  </si>
  <si>
    <t>특급</t>
    <phoneticPr fontId="2" type="noConversion"/>
  </si>
  <si>
    <t>특급</t>
    <phoneticPr fontId="2" type="noConversion"/>
  </si>
  <si>
    <t>특급</t>
    <phoneticPr fontId="2" type="noConversion"/>
  </si>
  <si>
    <t>"해당사항 없음"</t>
    <phoneticPr fontId="2" type="noConversion"/>
  </si>
  <si>
    <t>도로공항</t>
    <phoneticPr fontId="2" type="noConversion"/>
  </si>
  <si>
    <t>토질지질</t>
    <phoneticPr fontId="2" type="noConversion"/>
  </si>
  <si>
    <t>번호</t>
    <phoneticPr fontId="23" type="noConversion"/>
  </si>
  <si>
    <t>참여용역명</t>
    <phoneticPr fontId="2" type="noConversion"/>
  </si>
  <si>
    <t>사업개요</t>
    <phoneticPr fontId="23" type="noConversion"/>
  </si>
  <si>
    <t>발주처</t>
    <phoneticPr fontId="23" type="noConversion"/>
  </si>
  <si>
    <t>비고</t>
    <phoneticPr fontId="23" type="noConversion"/>
  </si>
  <si>
    <t>용역
준공일</t>
    <phoneticPr fontId="23" type="noConversion"/>
  </si>
  <si>
    <t>▣ 유사용역 수행실적</t>
    <phoneticPr fontId="2" type="noConversion"/>
  </si>
  <si>
    <t>용역기간</t>
    <phoneticPr fontId="23" type="noConversion"/>
  </si>
  <si>
    <t>준공
금액
(백만원)</t>
    <phoneticPr fontId="2" type="noConversion"/>
  </si>
  <si>
    <t>실적제외금액(백만원)</t>
    <phoneticPr fontId="23" type="noConversion"/>
  </si>
  <si>
    <t>도급지분</t>
    <phoneticPr fontId="23" type="noConversion"/>
  </si>
  <si>
    <t>적용금액
(백만원)</t>
    <phoneticPr fontId="23" type="noConversion"/>
  </si>
  <si>
    <t>실적금액
(백만원)</t>
    <phoneticPr fontId="23" type="noConversion"/>
  </si>
  <si>
    <t>용역건수
(지분율미반영)</t>
    <phoneticPr fontId="23" type="noConversion"/>
  </si>
  <si>
    <t>실적건수
(지분율반영)</t>
    <phoneticPr fontId="23" type="noConversion"/>
  </si>
  <si>
    <t>용역
계약일</t>
    <phoneticPr fontId="23" type="noConversion"/>
  </si>
  <si>
    <t>합계</t>
    <phoneticPr fontId="23" type="noConversion"/>
  </si>
  <si>
    <t>주)1.</t>
    <phoneticPr fontId="23" type="noConversion"/>
  </si>
  <si>
    <t>위 양식은 단지조성공사 설계용역에 해당하며, 2.3억원 실적기준이 적용되지 않는 용역의 경우에는 양식을 수정하여 작성바랍니다. 단, 최종 점수 셀은 유지해야 점수가 합산되오니 주의 바랍니다.</t>
    <phoneticPr fontId="23" type="noConversion"/>
  </si>
  <si>
    <t xml:space="preserve">    2.</t>
    <phoneticPr fontId="23" type="noConversion"/>
  </si>
  <si>
    <t>실적금액에 따른 건수인정기준은 공동도급비율 적용 전의 금액을 기준으로 산정하며, 건수산정 후 공동도급비율을 반영합니다.</t>
    <phoneticPr fontId="23" type="noConversion"/>
  </si>
  <si>
    <t>3.</t>
    <phoneticPr fontId="23" type="noConversion"/>
  </si>
  <si>
    <t>발주청이 발행한 실적증명서나 계약서 사본(원본대조필)으로 하되 참여기술자, 용역수행기간, 준공금액 및 공동도급업체수가 확인될 수 있어야 합니다.</t>
    <phoneticPr fontId="23" type="noConversion"/>
  </si>
  <si>
    <t>4.</t>
    <phoneticPr fontId="23" type="noConversion"/>
  </si>
  <si>
    <t>설계·시공일괄입찰 또는 대안입찰방식으로 참여하여 낙찰자 및 설계보상대상자로 지정된 경우에는 해당 발주기관이 발급한 증명서를 첨부하되 해당입찰의 낙찰금액이 확인될 수 있어야 합니다.</t>
    <phoneticPr fontId="23" type="noConversion"/>
  </si>
  <si>
    <t>5.</t>
    <phoneticPr fontId="23" type="noConversion"/>
  </si>
  <si>
    <t>기입란이 부족한 경우 행 삽입,삭제가 가능하며, 행삽입,삭제시 실적이 합계에서 누락되지 않도록 반드시 확인(유사용역 시트) 주의해야 합니다</t>
    <phoneticPr fontId="23" type="noConversion"/>
  </si>
  <si>
    <t>개발실적</t>
    <phoneticPr fontId="23" type="noConversion"/>
  </si>
  <si>
    <t>입찰공고일 :</t>
    <phoneticPr fontId="23" type="noConversion"/>
  </si>
  <si>
    <t>기술개요</t>
    <phoneticPr fontId="23" type="noConversion"/>
  </si>
  <si>
    <t>특허</t>
    <phoneticPr fontId="23" type="noConversion"/>
  </si>
  <si>
    <t xml:space="preserve"> 특허 20년미만 소계</t>
    <phoneticPr fontId="23" type="noConversion"/>
  </si>
  <si>
    <t>특허</t>
    <phoneticPr fontId="23" type="noConversion"/>
  </si>
  <si>
    <t>특허 10년미만 소계</t>
    <phoneticPr fontId="23" type="noConversion"/>
  </si>
  <si>
    <t>특허 5년미만 소계</t>
    <phoneticPr fontId="23" type="noConversion"/>
  </si>
  <si>
    <t>실용신안</t>
    <phoneticPr fontId="23" type="noConversion"/>
  </si>
  <si>
    <t>실용신안 10년미만 소계</t>
    <phoneticPr fontId="23" type="noConversion"/>
  </si>
  <si>
    <t>실용신안</t>
    <phoneticPr fontId="23" type="noConversion"/>
  </si>
  <si>
    <t>실용신안 5년미만 소계</t>
    <phoneticPr fontId="23" type="noConversion"/>
  </si>
  <si>
    <t>주) 1.</t>
    <phoneticPr fontId="23" type="noConversion"/>
  </si>
  <si>
    <t>19</t>
    <phoneticPr fontId="23" type="noConversion"/>
  </si>
  <si>
    <t xml:space="preserve"> 2.</t>
    <phoneticPr fontId="23" type="noConversion"/>
  </si>
  <si>
    <t>경과기간은 출원일로부터 경과기간을 기재해야 하며, 2인이상 출원시 출원인수로 나누어 산정한 건수로 산정되어집니다.</t>
    <phoneticPr fontId="23" type="noConversion"/>
  </si>
  <si>
    <t xml:space="preserve"> 3.</t>
    <phoneticPr fontId="23" type="noConversion"/>
  </si>
  <si>
    <t>증빙서류는 최근 1월 이내에 관할기관에서 발행한 등본이어야 합니다.</t>
    <phoneticPr fontId="23" type="noConversion"/>
  </si>
  <si>
    <t>종류</t>
    <phoneticPr fontId="23" type="noConversion"/>
  </si>
  <si>
    <t>지정
번호</t>
    <phoneticPr fontId="23" type="noConversion"/>
  </si>
  <si>
    <t>기술명</t>
    <phoneticPr fontId="2" type="noConversion"/>
  </si>
  <si>
    <t>경과기간
가중치</t>
    <phoneticPr fontId="23" type="noConversion"/>
  </si>
  <si>
    <t>실적
금액
(백만원)</t>
    <phoneticPr fontId="23" type="noConversion"/>
  </si>
  <si>
    <t>실적
건수</t>
    <phoneticPr fontId="23" type="noConversion"/>
  </si>
  <si>
    <t>금액
가중치</t>
    <phoneticPr fontId="23" type="noConversion"/>
  </si>
  <si>
    <t>건수
가중치</t>
    <phoneticPr fontId="23" type="noConversion"/>
  </si>
  <si>
    <t>점수</t>
    <phoneticPr fontId="23" type="noConversion"/>
  </si>
  <si>
    <t>신기술</t>
    <phoneticPr fontId="23" type="noConversion"/>
  </si>
  <si>
    <t>신기술 소계</t>
    <phoneticPr fontId="23" type="noConversion"/>
  </si>
  <si>
    <t>특허</t>
    <phoneticPr fontId="23" type="noConversion"/>
  </si>
  <si>
    <t>특허 소계</t>
    <phoneticPr fontId="23" type="noConversion"/>
  </si>
  <si>
    <t>미제출</t>
  </si>
  <si>
    <t>특급</t>
    <phoneticPr fontId="2" type="noConversion"/>
  </si>
  <si>
    <t>특급</t>
    <phoneticPr fontId="2" type="noConversion"/>
  </si>
  <si>
    <t>도로및공항참여기술자 실적</t>
    <phoneticPr fontId="23" type="noConversion"/>
  </si>
  <si>
    <t>도시계획참여기술자 실적</t>
    <phoneticPr fontId="23" type="noConversion"/>
  </si>
  <si>
    <t>도시계획책임기술자 실적</t>
    <phoneticPr fontId="23" type="noConversion"/>
  </si>
  <si>
    <t xml:space="preserve"> - 기본 및 실시설계</t>
    <phoneticPr fontId="23" type="noConversion"/>
  </si>
  <si>
    <t xml:space="preserve"> - 실시설계</t>
    <phoneticPr fontId="23" type="noConversion"/>
  </si>
  <si>
    <t>한국토지주택공사</t>
  </si>
  <si>
    <t>▣ 용역 수행실적</t>
    <phoneticPr fontId="2" type="noConversion"/>
  </si>
  <si>
    <t>도로및공항 책임</t>
    <phoneticPr fontId="2" type="noConversion"/>
  </si>
  <si>
    <t>도시계획 책임</t>
    <phoneticPr fontId="2" type="noConversion"/>
  </si>
  <si>
    <t>상하수도 책임</t>
    <phoneticPr fontId="2" type="noConversion"/>
  </si>
  <si>
    <t>사 업 책 임</t>
    <phoneticPr fontId="2" type="noConversion"/>
  </si>
  <si>
    <t>토목구조 책임</t>
    <phoneticPr fontId="2" type="noConversion"/>
  </si>
  <si>
    <t>도시계획 참여</t>
    <phoneticPr fontId="2" type="noConversion"/>
  </si>
  <si>
    <t>상하수도 참여</t>
    <phoneticPr fontId="2" type="noConversion"/>
  </si>
  <si>
    <t>토질·지질 참여</t>
    <phoneticPr fontId="2" type="noConversion"/>
  </si>
  <si>
    <t>토목구조 참여</t>
    <phoneticPr fontId="2" type="noConversion"/>
  </si>
  <si>
    <t>(11/11)×1 = 1.0</t>
    <phoneticPr fontId="2" type="noConversion"/>
  </si>
  <si>
    <t>실용신안</t>
    <phoneticPr fontId="23" type="noConversion"/>
  </si>
  <si>
    <t>           2주이상교육자                                                                                                               (11)인</t>
    <phoneticPr fontId="2" type="noConversion"/>
  </si>
  <si>
    <t>강박스 내측 하면에 아치형상의 콘크리트를 타설한 개구형박스 단면을 Ⅰ형 단면의 상부에 조합하여 변단면 구조를 갖도록 한 강합성거더 공법</t>
    <phoneticPr fontId="23" type="noConversion"/>
  </si>
  <si>
    <t>㈜경동엔지니어링
외 3인</t>
    <phoneticPr fontId="23" type="noConversion"/>
  </si>
  <si>
    <t>"해당사항 없음"</t>
    <phoneticPr fontId="2" type="noConversion"/>
  </si>
  <si>
    <t>"해당사항 없음"</t>
    <phoneticPr fontId="2" type="noConversion"/>
  </si>
  <si>
    <t>특허</t>
    <phoneticPr fontId="23" type="noConversion"/>
  </si>
  <si>
    <t>"해당사항 없음"</t>
    <phoneticPr fontId="2" type="noConversion"/>
  </si>
  <si>
    <t>이 기술은 강재거더를 지점부에서는 폐단면이고 지간 중앙부에서는 개구형박스(⊔)단면이 I형단면과 아치형태의 변단면 구성을 갖는 형상이며,강박스 내부에 압축 주응력이 작용하는 방향을따라 아치형태의 콘크리트를 배치하여 이종재료의 상호보완효과로 효율적인 단면강성을 확보함에 따라 좌굴저항성 증대와 보강재를 최소화 할 수 있는 동시에 진동성능을 증대시킬 수 있는 강합성거더 공법이다</t>
    <phoneticPr fontId="23" type="noConversion"/>
  </si>
  <si>
    <t>단부의 측면에 설치된 정착장치와 연속 텐던을 이용한 PSC-I형 거더 합성교의 연속화 공법</t>
  </si>
  <si>
    <t>자연분해성 섬유를 이용한 토사 및 풍화암 비탈면 녹화공법</t>
  </si>
  <si>
    <t>에어튜브를 이용한 에어데크 발파공법</t>
  </si>
  <si>
    <t>고강도 프리캐스트 패널(LB-DECK)과 전용 작업대차를 활용한 교량 바닥판 시공공법</t>
    <phoneticPr fontId="23" type="noConversion"/>
  </si>
  <si>
    <t>특허 5년미만 소계</t>
    <phoneticPr fontId="23" type="noConversion"/>
  </si>
  <si>
    <t>실용신안</t>
    <phoneticPr fontId="23" type="noConversion"/>
  </si>
  <si>
    <t>실용신안 10년미만 소계</t>
    <phoneticPr fontId="23" type="noConversion"/>
  </si>
  <si>
    <t>하수도정비대책수립</t>
    <phoneticPr fontId="23" type="noConversion"/>
  </si>
  <si>
    <t>-</t>
    <phoneticPr fontId="23" type="noConversion"/>
  </si>
  <si>
    <t>바(BAR)조립식 보수팩커와 가지관 보수팩커를 이용한 하수관거 비굴착 부분보수공법 (Multi Point Liner System/MPL공법)</t>
    <phoneticPr fontId="63" type="noConversion"/>
  </si>
  <si>
    <t>수냉 비정질 C12A7계 시멘트 광물계 급결제와 복합에어인젝션 시스템으로 구성된 타설 장비를 이용한 습식 숏크리트 공법</t>
    <phoneticPr fontId="63" type="noConversion"/>
  </si>
  <si>
    <t>단부의 측면에 설치된 정착장치와 연속 텐던을 이용한 PSC-I형 거더 합성교의 연속화 공법</t>
    <phoneticPr fontId="63" type="noConversion"/>
  </si>
  <si>
    <t>특허</t>
    <phoneticPr fontId="63" type="noConversion"/>
  </si>
  <si>
    <t>10-0440671</t>
  </si>
  <si>
    <t>강관말뚝 결합구</t>
    <phoneticPr fontId="63" type="noConversion"/>
  </si>
  <si>
    <t>도시계획 책임</t>
    <phoneticPr fontId="2" type="noConversion"/>
  </si>
  <si>
    <t>토질·지질 책임</t>
    <phoneticPr fontId="2" type="noConversion"/>
  </si>
  <si>
    <t>도로및공항 참여</t>
    <phoneticPr fontId="2" type="noConversion"/>
  </si>
  <si>
    <t xml:space="preserve"> - 발주청 근무실적 양식</t>
    <phoneticPr fontId="23" type="noConversion"/>
  </si>
  <si>
    <t>면적기준
(만㎡)</t>
    <phoneticPr fontId="23" type="noConversion"/>
  </si>
  <si>
    <t>적용건수
(단지조성)</t>
    <phoneticPr fontId="23" type="noConversion"/>
  </si>
  <si>
    <t>적용건수
(도로설계)</t>
    <phoneticPr fontId="23" type="noConversion"/>
  </si>
  <si>
    <t>착수일</t>
    <phoneticPr fontId="23" type="noConversion"/>
  </si>
  <si>
    <t>준공일</t>
    <phoneticPr fontId="23" type="noConversion"/>
  </si>
  <si>
    <t>용인흥덕지구 택지개발사업 조사설계용역</t>
    <phoneticPr fontId="23" type="noConversion"/>
  </si>
  <si>
    <t>근거법:택지개발촉진법
면적:2,139,000㎡
토질조사:\219,000,000
기본계획:365,000,000
기본및실시설계:1,217,000,000</t>
    <phoneticPr fontId="23" type="noConversion"/>
  </si>
  <si>
    <t xml:space="preserve">단지조성 등 설계용역 </t>
    <phoneticPr fontId="2" type="noConversion"/>
  </si>
  <si>
    <t>＊＊엔지니어링</t>
    <phoneticPr fontId="2" type="noConversion"/>
  </si>
  <si>
    <t>☆☆엔지니어링</t>
    <phoneticPr fontId="2" type="noConversion"/>
  </si>
  <si>
    <t>김사책</t>
    <phoneticPr fontId="2" type="noConversion"/>
  </si>
  <si>
    <t>ooo</t>
    <phoneticPr fontId="2" type="noConversion"/>
  </si>
  <si>
    <t>□ 사업책임기술자 000(참여업체)</t>
    <phoneticPr fontId="2" type="noConversion"/>
  </si>
  <si>
    <t>□ 도시계획분야 책임기술자  000(참여업체)</t>
    <phoneticPr fontId="2" type="noConversion"/>
  </si>
  <si>
    <t>□ 토질·지질분야 책임기술자  000(참여업체)</t>
    <phoneticPr fontId="2" type="noConversion"/>
  </si>
  <si>
    <t xml:space="preserve"> </t>
    <phoneticPr fontId="23" type="noConversion"/>
  </si>
  <si>
    <t xml:space="preserve"> </t>
    <phoneticPr fontId="23" type="noConversion"/>
  </si>
  <si>
    <t>OOOOOO</t>
    <phoneticPr fontId="2" type="noConversion"/>
  </si>
  <si>
    <t>OOO</t>
    <phoneticPr fontId="2" type="noConversion"/>
  </si>
  <si>
    <t>OOO</t>
    <phoneticPr fontId="23" type="noConversion"/>
  </si>
  <si>
    <t>OOO</t>
    <phoneticPr fontId="23" type="noConversion"/>
  </si>
  <si>
    <t>OOO</t>
    <phoneticPr fontId="2" type="noConversion"/>
  </si>
  <si>
    <t>OOO</t>
    <phoneticPr fontId="63" type="noConversion"/>
  </si>
  <si>
    <t>□ 도로·공항분야 책임기술자 000 (참여업체)</t>
    <phoneticPr fontId="2" type="noConversion"/>
  </si>
  <si>
    <t>□ 토목구조분야 책임기술자   000 (참여업체)</t>
    <phoneticPr fontId="2" type="noConversion"/>
  </si>
  <si>
    <t>□ 상하수도분야 책임기술자   000 (참여업체)</t>
    <phoneticPr fontId="23" type="noConversion"/>
  </si>
  <si>
    <t>도책임</t>
    <phoneticPr fontId="2" type="noConversion"/>
  </si>
  <si>
    <t xml:space="preserve"> </t>
    <phoneticPr fontId="63" type="noConversion"/>
  </si>
  <si>
    <t xml:space="preserve">신기술 활용실적  </t>
    <phoneticPr fontId="23" type="noConversion"/>
  </si>
  <si>
    <t>신기술 활용실적  00엔지니어링</t>
    <phoneticPr fontId="23" type="noConversion"/>
  </si>
  <si>
    <t>10. 엑셀서식오류 등 작성양식과 관련된 문의 사항은 본사 기술지원단 (055-922-5372)로 문의 바랍니다.</t>
    <phoneticPr fontId="2" type="noConversion"/>
  </si>
  <si>
    <t>LH평가</t>
    <phoneticPr fontId="2" type="noConversion"/>
  </si>
  <si>
    <t>자체평가</t>
    <phoneticPr fontId="2" type="noConversion"/>
  </si>
  <si>
    <t>점수 차</t>
    <phoneticPr fontId="2" type="noConversion"/>
  </si>
  <si>
    <t>oo엔지니어링</t>
    <phoneticPr fontId="2" type="noConversion"/>
  </si>
  <si>
    <t>건설기술자
신규고용율</t>
    <phoneticPr fontId="2" type="noConversion"/>
  </si>
  <si>
    <t>용 역 명:</t>
    <phoneticPr fontId="2" type="noConversion"/>
  </si>
  <si>
    <t>평가업체:</t>
    <phoneticPr fontId="2" type="noConversion"/>
  </si>
  <si>
    <t>비고</t>
    <phoneticPr fontId="23" type="noConversion"/>
  </si>
  <si>
    <t xml:space="preserve"> 업무중복도 (10점)</t>
    <phoneticPr fontId="2" type="noConversion"/>
  </si>
  <si>
    <t>5. 업무중복도 (10점)</t>
    <phoneticPr fontId="2" type="noConversion"/>
  </si>
</sst>
</file>

<file path=xl/styles.xml><?xml version="1.0" encoding="utf-8"?>
<styleSheet xmlns="http://schemas.openxmlformats.org/spreadsheetml/2006/main">
  <numFmts count="41">
    <numFmt numFmtId="41" formatCode="_-* #,##0_-;\-* #,##0_-;_-* &quot;-&quot;_-;_-@_-"/>
    <numFmt numFmtId="43" formatCode="_-* #,##0.00_-;\-* #,##0.00_-;_-* &quot;-&quot;??_-;_-@_-"/>
    <numFmt numFmtId="176" formatCode="0.0_ "/>
    <numFmt numFmtId="177" formatCode="0.00_ "/>
    <numFmt numFmtId="178" formatCode="0.0%"/>
    <numFmt numFmtId="179" formatCode="_-* #,##0.0_-;\-* #,##0.0_-;_-* &quot;-&quot;_-;_-@_-"/>
    <numFmt numFmtId="180" formatCode="_-* #,##0.00_-;\-* #,##0.00_-;_-* &quot;-&quot;_-;_-@_-"/>
    <numFmt numFmtId="181" formatCode="General&quot;년이상&quot;"/>
    <numFmt numFmtId="182" formatCode="General&quot;건이상&quot;"/>
    <numFmt numFmtId="183" formatCode="General&quot;건미만&quot;"/>
    <numFmt numFmtId="184" formatCode="General&quot;년미만&quot;"/>
    <numFmt numFmtId="185" formatCode="General&quot;억이상&quot;"/>
    <numFmt numFmtId="186" formatCode="0.0%&quot;이상&quot;"/>
    <numFmt numFmtId="187" formatCode="0.0%&quot;미만&quot;"/>
    <numFmt numFmtId="188" formatCode="_-* #,##0.00_-;\-* #,##0.00_-;_-* &quot;-&quot;?_-;_-@_-"/>
    <numFmt numFmtId="189" formatCode="General&quot;명&quot;"/>
    <numFmt numFmtId="190" formatCode="General&quot;건&quot;"/>
    <numFmt numFmtId="191" formatCode="0_);[Red]\(0\)"/>
    <numFmt numFmtId="192" formatCode="0.0_);[Red]\(0.0\)"/>
    <numFmt numFmtId="193" formatCode="0.00_);[Red]\(0.00\)"/>
    <numFmt numFmtId="194" formatCode="General&quot;이상&quot;"/>
    <numFmt numFmtId="195" formatCode="#,##0_ "/>
    <numFmt numFmtId="196" formatCode="#,##0.00_ "/>
    <numFmt numFmtId="197" formatCode="#,##0;[Black]#,##0"/>
    <numFmt numFmtId="198" formatCode="#,##0.00;[Black]#,##0.00"/>
    <numFmt numFmtId="199" formatCode="yy&quot;년&quot;/mm&quot;월&quot;"/>
    <numFmt numFmtId="200" formatCode="0.00&quot;건&quot;"/>
    <numFmt numFmtId="201" formatCode="0%&quot;이&quot;&quot;상&quot;"/>
    <numFmt numFmtId="202" formatCode="0%&quot;미&quot;&quot;만&quot;"/>
    <numFmt numFmtId="203" formatCode="#,##0&quot;㎡&quot;"/>
    <numFmt numFmtId="204" formatCode="#,##0&quot;천&quot;&quot;원&quot;"/>
    <numFmt numFmtId="205" formatCode="#,##0&quot;만㎡&quot;"/>
    <numFmt numFmtId="206" formatCode="0.0&quot;건&quot;"/>
    <numFmt numFmtId="207" formatCode="yy&quot;-&quot;mm&quot;-&quot;dd"/>
    <numFmt numFmtId="208" formatCode="#,##0.00_);[Red]\(#,##0.00\)"/>
    <numFmt numFmtId="209" formatCode="00&quot;개&quot;&quot;월&quot;"/>
    <numFmt numFmtId="210" formatCode="0.00;_가"/>
    <numFmt numFmtId="211" formatCode="00.00&quot;개&quot;&quot;월&quot;"/>
    <numFmt numFmtId="212" formatCode="0_ "/>
    <numFmt numFmtId="213" formatCode="0_);\(0\)"/>
    <numFmt numFmtId="214" formatCode="#,##0_);\(#,##0\)"/>
  </numFmts>
  <fonts count="7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.8000000000000007"/>
      <color indexed="8"/>
      <name val="바탕"/>
      <family val="1"/>
      <charset val="129"/>
    </font>
    <font>
      <sz val="11"/>
      <name val="바탕"/>
      <family val="1"/>
      <charset val="129"/>
    </font>
    <font>
      <sz val="13"/>
      <name val="바탕"/>
      <family val="1"/>
      <charset val="129"/>
    </font>
    <font>
      <sz val="10"/>
      <name val="바탕"/>
      <family val="1"/>
      <charset val="129"/>
    </font>
    <font>
      <sz val="16"/>
      <name val="바탕"/>
      <family val="1"/>
      <charset val="129"/>
    </font>
    <font>
      <sz val="14"/>
      <name val="바탕"/>
      <family val="1"/>
      <charset val="129"/>
    </font>
    <font>
      <b/>
      <sz val="18"/>
      <name val="돋움체"/>
      <family val="3"/>
      <charset val="129"/>
    </font>
    <font>
      <b/>
      <sz val="12"/>
      <name val="돋움체"/>
      <family val="3"/>
      <charset val="129"/>
    </font>
    <font>
      <sz val="11"/>
      <name val="돋움체"/>
      <family val="3"/>
      <charset val="129"/>
    </font>
    <font>
      <sz val="13"/>
      <name val="돋움체"/>
      <family val="3"/>
      <charset val="129"/>
    </font>
    <font>
      <b/>
      <sz val="13"/>
      <name val="돋움체"/>
      <family val="3"/>
      <charset val="129"/>
    </font>
    <font>
      <b/>
      <sz val="14"/>
      <name val="돋움체"/>
      <family val="3"/>
      <charset val="129"/>
    </font>
    <font>
      <sz val="10"/>
      <name val="돋움체"/>
      <family val="3"/>
      <charset val="129"/>
    </font>
    <font>
      <b/>
      <sz val="10"/>
      <name val="돋움체"/>
      <family val="3"/>
      <charset val="129"/>
    </font>
    <font>
      <sz val="10"/>
      <color indexed="10"/>
      <name val="돋움체"/>
      <family val="3"/>
      <charset val="129"/>
    </font>
    <font>
      <b/>
      <sz val="16"/>
      <name val="돋움체"/>
      <family val="3"/>
      <charset val="129"/>
    </font>
    <font>
      <sz val="16"/>
      <name val="돋움체"/>
      <family val="3"/>
      <charset val="129"/>
    </font>
    <font>
      <sz val="12"/>
      <name val="돋움체"/>
      <family val="3"/>
      <charset val="129"/>
    </font>
    <font>
      <sz val="14"/>
      <name val="돋움체"/>
      <family val="3"/>
      <charset val="129"/>
    </font>
    <font>
      <sz val="11"/>
      <color indexed="8"/>
      <name val="돋움체"/>
      <family val="3"/>
      <charset val="129"/>
    </font>
    <font>
      <b/>
      <sz val="14"/>
      <name val="돋움"/>
      <family val="3"/>
      <charset val="129"/>
    </font>
    <font>
      <b/>
      <sz val="15"/>
      <name val="돋움"/>
      <family val="3"/>
      <charset val="129"/>
    </font>
    <font>
      <sz val="15"/>
      <name val="돋움"/>
      <family val="3"/>
      <charset val="129"/>
    </font>
    <font>
      <b/>
      <sz val="8"/>
      <name val="돋움"/>
      <family val="3"/>
      <charset val="129"/>
    </font>
    <font>
      <b/>
      <sz val="7"/>
      <name val="돋움"/>
      <family val="3"/>
      <charset val="129"/>
    </font>
    <font>
      <sz val="7"/>
      <name val="돋움"/>
      <family val="3"/>
      <charset val="129"/>
    </font>
    <font>
      <b/>
      <sz val="8"/>
      <color indexed="10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sz val="9"/>
      <color indexed="8"/>
      <name val="한양신명조,한컴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b/>
      <sz val="13"/>
      <color indexed="10"/>
      <name val="돋움체"/>
      <family val="3"/>
      <charset val="129"/>
    </font>
    <font>
      <sz val="12"/>
      <color indexed="8"/>
      <name val="한양중고딕,한컴돋움"/>
      <family val="3"/>
      <charset val="129"/>
    </font>
    <font>
      <sz val="10"/>
      <name val="굴림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10"/>
      <name val="굴림"/>
      <family val="3"/>
      <charset val="129"/>
    </font>
    <font>
      <b/>
      <sz val="8"/>
      <name val="돋움체"/>
      <family val="3"/>
      <charset val="129"/>
    </font>
    <font>
      <sz val="8"/>
      <name val="돋움체"/>
      <family val="3"/>
      <charset val="129"/>
    </font>
    <font>
      <sz val="8"/>
      <name val="바탕"/>
      <family val="1"/>
      <charset val="129"/>
    </font>
    <font>
      <b/>
      <sz val="10"/>
      <color indexed="8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굴림"/>
      <family val="3"/>
      <charset val="129"/>
    </font>
    <font>
      <sz val="10"/>
      <color indexed="8"/>
      <name val="돋움체"/>
      <family val="3"/>
      <charset val="129"/>
    </font>
    <font>
      <sz val="13"/>
      <color indexed="8"/>
      <name val="돋움체"/>
      <family val="3"/>
      <charset val="129"/>
    </font>
    <font>
      <sz val="12"/>
      <color indexed="63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name val="굴림"/>
      <family val="3"/>
      <charset val="129"/>
    </font>
    <font>
      <sz val="13"/>
      <name val="굴림"/>
      <family val="3"/>
      <charset val="129"/>
    </font>
    <font>
      <sz val="8"/>
      <name val="굴림"/>
      <family val="3"/>
      <charset val="129"/>
    </font>
    <font>
      <b/>
      <sz val="12"/>
      <name val="굴림체"/>
      <family val="3"/>
      <charset val="129"/>
    </font>
    <font>
      <sz val="12"/>
      <color indexed="63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3"/>
      <color indexed="8"/>
      <name val="돋움체"/>
      <family val="3"/>
      <charset val="129"/>
    </font>
    <font>
      <sz val="12"/>
      <color indexed="10"/>
      <name val="돋움"/>
      <family val="3"/>
      <charset val="129"/>
    </font>
    <font>
      <b/>
      <sz val="10"/>
      <color indexed="81"/>
      <name val="굴림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휴먼명조,한컴돋움"/>
      <family val="3"/>
      <charset val="129"/>
    </font>
    <font>
      <sz val="9.5"/>
      <name val="돋움"/>
      <family val="3"/>
      <charset val="129"/>
    </font>
    <font>
      <sz val="7.7"/>
      <name val="돋움체"/>
      <family val="3"/>
      <charset val="129"/>
    </font>
    <font>
      <sz val="8"/>
      <name val="맑은 고딕"/>
      <family val="2"/>
    </font>
    <font>
      <sz val="8.5"/>
      <name val="돋움"/>
      <family val="3"/>
      <charset val="129"/>
    </font>
    <font>
      <sz val="10"/>
      <color indexed="8"/>
      <name val="돋움"/>
      <family val="3"/>
      <charset val="129"/>
    </font>
    <font>
      <sz val="11"/>
      <color theme="1"/>
      <name val="맑은 고딕"/>
      <family val="2"/>
      <scheme val="minor"/>
    </font>
    <font>
      <sz val="10"/>
      <color rgb="FFFF0000"/>
      <name val="돋움체"/>
      <family val="3"/>
      <charset val="129"/>
    </font>
    <font>
      <sz val="11"/>
      <color rgb="FFFF0000"/>
      <name val="돋움체"/>
      <family val="3"/>
      <charset val="129"/>
    </font>
    <font>
      <b/>
      <sz val="12"/>
      <name val="돋음체"/>
      <family val="3"/>
      <charset val="129"/>
    </font>
    <font>
      <b/>
      <sz val="11"/>
      <name val="돋음체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54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ash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dott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" fillId="0" borderId="0"/>
  </cellStyleXfs>
  <cellXfs count="1149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5" fillId="0" borderId="0" xfId="0" applyFont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4" fillId="0" borderId="0" xfId="0" applyFont="1" applyBorder="1">
      <alignment vertical="center"/>
    </xf>
    <xf numFmtId="0" fontId="5" fillId="2" borderId="0" xfId="0" applyFont="1" applyFill="1" applyBorder="1">
      <alignment vertical="center"/>
    </xf>
    <xf numFmtId="180" fontId="6" fillId="0" borderId="0" xfId="2" applyNumberFormat="1" applyFont="1" applyAlignment="1">
      <alignment horizontal="center" vertical="center"/>
    </xf>
    <xf numFmtId="180" fontId="6" fillId="0" borderId="0" xfId="2" applyNumberFormat="1" applyFont="1" applyAlignment="1">
      <alignment horizontal="center" vertical="center" wrapText="1"/>
    </xf>
    <xf numFmtId="180" fontId="4" fillId="0" borderId="0" xfId="2" applyNumberFormat="1" applyFont="1" applyFill="1">
      <alignment vertical="center"/>
    </xf>
    <xf numFmtId="192" fontId="8" fillId="0" borderId="0" xfId="0" applyNumberFormat="1" applyFont="1" applyAlignment="1">
      <alignment horizontal="center" vertical="center"/>
    </xf>
    <xf numFmtId="192" fontId="4" fillId="0" borderId="0" xfId="0" applyNumberFormat="1" applyFont="1" applyAlignment="1">
      <alignment horizontal="center" vertical="center"/>
    </xf>
    <xf numFmtId="180" fontId="5" fillId="0" borderId="0" xfId="2" applyNumberFormat="1" applyFont="1">
      <alignment vertical="center"/>
    </xf>
    <xf numFmtId="180" fontId="4" fillId="0" borderId="0" xfId="2" applyNumberFormat="1" applyFont="1">
      <alignment vertical="center"/>
    </xf>
    <xf numFmtId="180" fontId="8" fillId="0" borderId="0" xfId="2" applyNumberFormat="1" applyFont="1">
      <alignment vertical="center"/>
    </xf>
    <xf numFmtId="10" fontId="8" fillId="0" borderId="0" xfId="1" applyNumberFormat="1" applyFont="1" applyAlignment="1">
      <alignment horizontal="center" vertical="center"/>
    </xf>
    <xf numFmtId="10" fontId="5" fillId="0" borderId="0" xfId="1" applyNumberFormat="1" applyFont="1" applyAlignment="1">
      <alignment horizontal="center" vertical="center"/>
    </xf>
    <xf numFmtId="10" fontId="4" fillId="0" borderId="0" xfId="1" applyNumberFormat="1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180" fontId="14" fillId="0" borderId="0" xfId="2" applyNumberFormat="1" applyFont="1" applyBorder="1" applyAlignment="1">
      <alignment horizontal="center" vertical="center" wrapText="1"/>
    </xf>
    <xf numFmtId="180" fontId="15" fillId="0" borderId="0" xfId="2" applyNumberFormat="1" applyFont="1" applyAlignment="1">
      <alignment horizontal="center" vertical="center" wrapText="1"/>
    </xf>
    <xf numFmtId="180" fontId="16" fillId="0" borderId="1" xfId="2" applyNumberFormat="1" applyFont="1" applyBorder="1" applyAlignment="1">
      <alignment horizontal="center" vertical="center" wrapText="1"/>
    </xf>
    <xf numFmtId="180" fontId="15" fillId="3" borderId="2" xfId="2" applyNumberFormat="1" applyFont="1" applyFill="1" applyBorder="1" applyAlignment="1">
      <alignment horizontal="center" vertical="center" wrapText="1"/>
    </xf>
    <xf numFmtId="180" fontId="15" fillId="3" borderId="3" xfId="2" applyNumberFormat="1" applyFont="1" applyFill="1" applyBorder="1" applyAlignment="1">
      <alignment horizontal="center" vertical="center" wrapText="1"/>
    </xf>
    <xf numFmtId="180" fontId="15" fillId="3" borderId="4" xfId="2" applyNumberFormat="1" applyFont="1" applyFill="1" applyBorder="1" applyAlignment="1">
      <alignment horizontal="center" vertical="center" wrapText="1"/>
    </xf>
    <xf numFmtId="180" fontId="16" fillId="0" borderId="5" xfId="2" applyNumberFormat="1" applyFont="1" applyBorder="1" applyAlignment="1">
      <alignment horizontal="center" vertical="center" wrapText="1"/>
    </xf>
    <xf numFmtId="180" fontId="16" fillId="0" borderId="6" xfId="2" applyNumberFormat="1" applyFont="1" applyBorder="1" applyAlignment="1">
      <alignment horizontal="center" vertical="center" wrapText="1"/>
    </xf>
    <xf numFmtId="180" fontId="17" fillId="0" borderId="7" xfId="2" applyNumberFormat="1" applyFont="1" applyFill="1" applyBorder="1" applyAlignment="1">
      <alignment horizontal="center" vertical="center" wrapText="1"/>
    </xf>
    <xf numFmtId="180" fontId="15" fillId="0" borderId="3" xfId="2" applyNumberFormat="1" applyFont="1" applyFill="1" applyBorder="1" applyAlignment="1">
      <alignment horizontal="center" vertical="center" wrapText="1"/>
    </xf>
    <xf numFmtId="0" fontId="15" fillId="4" borderId="3" xfId="2" applyNumberFormat="1" applyFont="1" applyFill="1" applyBorder="1" applyAlignment="1">
      <alignment horizontal="center" vertical="center" wrapText="1"/>
    </xf>
    <xf numFmtId="180" fontId="17" fillId="0" borderId="4" xfId="2" applyNumberFormat="1" applyFont="1" applyFill="1" applyBorder="1" applyAlignment="1">
      <alignment horizontal="center" vertical="center" wrapText="1"/>
    </xf>
    <xf numFmtId="181" fontId="15" fillId="3" borderId="3" xfId="2" applyNumberFormat="1" applyFont="1" applyFill="1" applyBorder="1" applyAlignment="1">
      <alignment horizontal="center" vertical="center" wrapText="1"/>
    </xf>
    <xf numFmtId="184" fontId="15" fillId="3" borderId="4" xfId="2" applyNumberFormat="1" applyFont="1" applyFill="1" applyBorder="1" applyAlignment="1">
      <alignment horizontal="center" vertical="center" wrapText="1"/>
    </xf>
    <xf numFmtId="0" fontId="15" fillId="4" borderId="4" xfId="2" applyNumberFormat="1" applyFont="1" applyFill="1" applyBorder="1" applyAlignment="1">
      <alignment horizontal="center" vertical="center" wrapText="1"/>
    </xf>
    <xf numFmtId="182" fontId="15" fillId="3" borderId="3" xfId="2" applyNumberFormat="1" applyFont="1" applyFill="1" applyBorder="1" applyAlignment="1">
      <alignment horizontal="center" vertical="center" wrapText="1"/>
    </xf>
    <xf numFmtId="183" fontId="15" fillId="3" borderId="4" xfId="2" applyNumberFormat="1" applyFont="1" applyFill="1" applyBorder="1" applyAlignment="1">
      <alignment horizontal="center" vertical="center" wrapText="1"/>
    </xf>
    <xf numFmtId="176" fontId="15" fillId="4" borderId="3" xfId="2" applyNumberFormat="1" applyFont="1" applyFill="1" applyBorder="1" applyAlignment="1">
      <alignment horizontal="center" vertical="center" wrapText="1"/>
    </xf>
    <xf numFmtId="176" fontId="15" fillId="4" borderId="4" xfId="2" applyNumberFormat="1" applyFont="1" applyFill="1" applyBorder="1" applyAlignment="1">
      <alignment horizontal="center" vertical="center" wrapText="1"/>
    </xf>
    <xf numFmtId="180" fontId="15" fillId="0" borderId="4" xfId="2" applyNumberFormat="1" applyFont="1" applyBorder="1" applyAlignment="1">
      <alignment horizontal="center" vertical="center" wrapText="1"/>
    </xf>
    <xf numFmtId="177" fontId="15" fillId="5" borderId="3" xfId="2" applyNumberFormat="1" applyFont="1" applyFill="1" applyBorder="1" applyAlignment="1">
      <alignment horizontal="center" vertical="center" wrapText="1"/>
    </xf>
    <xf numFmtId="177" fontId="15" fillId="4" borderId="3" xfId="2" applyNumberFormat="1" applyFont="1" applyFill="1" applyBorder="1" applyAlignment="1">
      <alignment horizontal="center" vertical="center" wrapText="1"/>
    </xf>
    <xf numFmtId="177" fontId="15" fillId="5" borderId="4" xfId="2" applyNumberFormat="1" applyFont="1" applyFill="1" applyBorder="1" applyAlignment="1">
      <alignment horizontal="center" vertical="center" wrapText="1"/>
    </xf>
    <xf numFmtId="177" fontId="15" fillId="4" borderId="4" xfId="2" applyNumberFormat="1" applyFont="1" applyFill="1" applyBorder="1" applyAlignment="1">
      <alignment horizontal="center" vertical="center" wrapText="1"/>
    </xf>
    <xf numFmtId="180" fontId="15" fillId="0" borderId="3" xfId="2" applyNumberFormat="1" applyFont="1" applyBorder="1" applyAlignment="1">
      <alignment horizontal="center" vertical="center" wrapText="1"/>
    </xf>
    <xf numFmtId="0" fontId="16" fillId="0" borderId="3" xfId="2" applyNumberFormat="1" applyFont="1" applyBorder="1" applyAlignment="1">
      <alignment horizontal="center" vertical="center" wrapText="1"/>
    </xf>
    <xf numFmtId="0" fontId="15" fillId="3" borderId="3" xfId="2" applyNumberFormat="1" applyFont="1" applyFill="1" applyBorder="1" applyAlignment="1">
      <alignment horizontal="center" vertical="center" wrapText="1"/>
    </xf>
    <xf numFmtId="0" fontId="15" fillId="0" borderId="3" xfId="2" applyNumberFormat="1" applyFont="1" applyBorder="1" applyAlignment="1">
      <alignment horizontal="center" vertical="center" wrapText="1"/>
    </xf>
    <xf numFmtId="180" fontId="15" fillId="0" borderId="4" xfId="2" applyNumberFormat="1" applyFont="1" applyFill="1" applyBorder="1" applyAlignment="1">
      <alignment horizontal="center" vertical="center" wrapText="1"/>
    </xf>
    <xf numFmtId="10" fontId="15" fillId="0" borderId="3" xfId="1" applyNumberFormat="1" applyFont="1" applyFill="1" applyBorder="1" applyAlignment="1">
      <alignment horizontal="center" vertical="center" wrapText="1"/>
    </xf>
    <xf numFmtId="10" fontId="15" fillId="0" borderId="4" xfId="1" applyNumberFormat="1" applyFont="1" applyFill="1" applyBorder="1" applyAlignment="1">
      <alignment horizontal="center" vertical="center" wrapText="1"/>
    </xf>
    <xf numFmtId="9" fontId="15" fillId="4" borderId="3" xfId="1" applyFont="1" applyFill="1" applyBorder="1" applyAlignment="1">
      <alignment horizontal="center" vertical="center" wrapText="1"/>
    </xf>
    <xf numFmtId="9" fontId="15" fillId="0" borderId="3" xfId="1" applyFont="1" applyFill="1" applyBorder="1" applyAlignment="1">
      <alignment horizontal="center" vertical="center" wrapText="1"/>
    </xf>
    <xf numFmtId="186" fontId="15" fillId="3" borderId="3" xfId="2" applyNumberFormat="1" applyFont="1" applyFill="1" applyBorder="1" applyAlignment="1">
      <alignment horizontal="center" vertical="center" wrapText="1"/>
    </xf>
    <xf numFmtId="187" fontId="15" fillId="3" borderId="4" xfId="2" applyNumberFormat="1" applyFont="1" applyFill="1" applyBorder="1" applyAlignment="1">
      <alignment horizontal="center" vertical="center" wrapText="1"/>
    </xf>
    <xf numFmtId="176" fontId="15" fillId="3" borderId="3" xfId="2" applyNumberFormat="1" applyFont="1" applyFill="1" applyBorder="1" applyAlignment="1">
      <alignment horizontal="center" vertical="center" wrapText="1"/>
    </xf>
    <xf numFmtId="176" fontId="15" fillId="3" borderId="4" xfId="2" applyNumberFormat="1" applyFont="1" applyFill="1" applyBorder="1" applyAlignment="1">
      <alignment horizontal="center" vertical="center" wrapText="1"/>
    </xf>
    <xf numFmtId="194" fontId="15" fillId="4" borderId="3" xfId="1" applyNumberFormat="1" applyFont="1" applyFill="1" applyBorder="1" applyAlignment="1">
      <alignment horizontal="center" vertical="center" wrapText="1"/>
    </xf>
    <xf numFmtId="194" fontId="15" fillId="4" borderId="8" xfId="1" applyNumberFormat="1" applyFont="1" applyFill="1" applyBorder="1" applyAlignment="1">
      <alignment horizontal="center" vertical="center" wrapText="1"/>
    </xf>
    <xf numFmtId="194" fontId="15" fillId="4" borderId="3" xfId="2" applyNumberFormat="1" applyFont="1" applyFill="1" applyBorder="1" applyAlignment="1">
      <alignment horizontal="center" vertical="center" wrapText="1"/>
    </xf>
    <xf numFmtId="194" fontId="15" fillId="4" borderId="8" xfId="2" applyNumberFormat="1" applyFont="1" applyFill="1" applyBorder="1" applyAlignment="1">
      <alignment horizontal="center" vertical="center" wrapText="1"/>
    </xf>
    <xf numFmtId="180" fontId="16" fillId="0" borderId="3" xfId="2" applyNumberFormat="1" applyFont="1" applyBorder="1" applyAlignment="1">
      <alignment horizontal="center" vertical="center" wrapText="1"/>
    </xf>
    <xf numFmtId="180" fontId="16" fillId="0" borderId="4" xfId="2" applyNumberFormat="1" applyFont="1" applyBorder="1" applyAlignment="1">
      <alignment horizontal="center" vertical="center" wrapText="1"/>
    </xf>
    <xf numFmtId="180" fontId="15" fillId="0" borderId="0" xfId="2" applyNumberFormat="1" applyFont="1" applyAlignment="1">
      <alignment horizontal="center" vertical="center"/>
    </xf>
    <xf numFmtId="41" fontId="15" fillId="0" borderId="0" xfId="2" applyFont="1" applyAlignment="1">
      <alignment horizontal="center" vertical="center"/>
    </xf>
    <xf numFmtId="41" fontId="15" fillId="0" borderId="0" xfId="2" applyFont="1" applyAlignment="1">
      <alignment horizontal="center" vertical="center" wrapText="1"/>
    </xf>
    <xf numFmtId="0" fontId="19" fillId="0" borderId="0" xfId="0" applyFont="1" applyFill="1">
      <alignment vertical="center"/>
    </xf>
    <xf numFmtId="0" fontId="19" fillId="0" borderId="0" xfId="0" applyFont="1" applyFill="1" applyAlignment="1">
      <alignment horizontal="center" vertical="center"/>
    </xf>
    <xf numFmtId="0" fontId="12" fillId="0" borderId="0" xfId="0" applyFont="1" applyFill="1">
      <alignment vertical="center"/>
    </xf>
    <xf numFmtId="180" fontId="12" fillId="0" borderId="0" xfId="2" applyNumberFormat="1" applyFont="1" applyFill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>
      <alignment vertical="center"/>
    </xf>
    <xf numFmtId="0" fontId="14" fillId="0" borderId="0" xfId="0" applyFont="1">
      <alignment vertical="center"/>
    </xf>
    <xf numFmtId="0" fontId="21" fillId="0" borderId="0" xfId="0" applyFont="1">
      <alignment vertical="center"/>
    </xf>
    <xf numFmtId="0" fontId="21" fillId="0" borderId="0" xfId="0" applyFont="1" applyFill="1">
      <alignment vertical="center"/>
    </xf>
    <xf numFmtId="0" fontId="14" fillId="0" borderId="0" xfId="0" applyFont="1" applyFill="1">
      <alignment vertical="center"/>
    </xf>
    <xf numFmtId="9" fontId="21" fillId="0" borderId="0" xfId="1" applyFont="1" applyFill="1">
      <alignment vertical="center"/>
    </xf>
    <xf numFmtId="180" fontId="21" fillId="0" borderId="0" xfId="2" applyNumberFormat="1" applyFont="1" applyFill="1">
      <alignment vertical="center"/>
    </xf>
    <xf numFmtId="0" fontId="13" fillId="0" borderId="0" xfId="0" applyFont="1" applyFill="1">
      <alignment vertical="center"/>
    </xf>
    <xf numFmtId="9" fontId="12" fillId="0" borderId="0" xfId="1" applyFont="1" applyFill="1">
      <alignment vertical="center"/>
    </xf>
    <xf numFmtId="9" fontId="11" fillId="0" borderId="0" xfId="1" applyFont="1">
      <alignment vertical="center"/>
    </xf>
    <xf numFmtId="180" fontId="11" fillId="0" borderId="0" xfId="2" applyNumberFormat="1" applyFont="1">
      <alignment vertical="center"/>
    </xf>
    <xf numFmtId="0" fontId="11" fillId="0" borderId="0" xfId="0" applyFont="1" applyBorder="1">
      <alignment vertical="center"/>
    </xf>
    <xf numFmtId="9" fontId="11" fillId="0" borderId="0" xfId="1" applyFont="1" applyBorder="1">
      <alignment vertical="center"/>
    </xf>
    <xf numFmtId="180" fontId="11" fillId="0" borderId="0" xfId="2" applyNumberFormat="1" applyFont="1" applyBorder="1">
      <alignment vertical="center"/>
    </xf>
    <xf numFmtId="0" fontId="12" fillId="2" borderId="0" xfId="0" applyFont="1" applyFill="1" applyBorder="1">
      <alignment vertical="center"/>
    </xf>
    <xf numFmtId="9" fontId="12" fillId="2" borderId="0" xfId="1" applyFont="1" applyFill="1" applyBorder="1">
      <alignment vertical="center"/>
    </xf>
    <xf numFmtId="180" fontId="12" fillId="2" borderId="0" xfId="2" applyNumberFormat="1" applyFont="1" applyFill="1" applyBorder="1">
      <alignment vertical="center"/>
    </xf>
    <xf numFmtId="0" fontId="11" fillId="0" borderId="0" xfId="0" applyFont="1" applyAlignment="1">
      <alignment horizontal="center" vertical="center"/>
    </xf>
    <xf numFmtId="180" fontId="21" fillId="0" borderId="0" xfId="2" applyNumberFormat="1" applyFont="1">
      <alignment vertical="center"/>
    </xf>
    <xf numFmtId="0" fontId="14" fillId="0" borderId="0" xfId="0" applyFont="1" applyAlignment="1">
      <alignment horizontal="left" vertical="center"/>
    </xf>
    <xf numFmtId="192" fontId="21" fillId="0" borderId="0" xfId="0" applyNumberFormat="1" applyFont="1" applyAlignment="1">
      <alignment horizontal="center" vertical="center"/>
    </xf>
    <xf numFmtId="10" fontId="12" fillId="2" borderId="9" xfId="1" applyNumberFormat="1" applyFont="1" applyFill="1" applyBorder="1" applyAlignment="1">
      <alignment horizontal="center" vertical="center"/>
    </xf>
    <xf numFmtId="10" fontId="12" fillId="2" borderId="10" xfId="1" applyNumberFormat="1" applyFont="1" applyFill="1" applyBorder="1" applyAlignment="1">
      <alignment horizontal="center" vertical="center"/>
    </xf>
    <xf numFmtId="10" fontId="12" fillId="2" borderId="11" xfId="1" applyNumberFormat="1" applyFont="1" applyFill="1" applyBorder="1" applyAlignment="1">
      <alignment horizontal="center" vertical="center"/>
    </xf>
    <xf numFmtId="10" fontId="12" fillId="2" borderId="12" xfId="1" applyNumberFormat="1" applyFont="1" applyFill="1" applyBorder="1" applyAlignment="1">
      <alignment horizontal="center" vertical="center"/>
    </xf>
    <xf numFmtId="10" fontId="12" fillId="2" borderId="13" xfId="1" applyNumberFormat="1" applyFont="1" applyFill="1" applyBorder="1" applyAlignment="1">
      <alignment horizontal="center" vertical="center"/>
    </xf>
    <xf numFmtId="10" fontId="12" fillId="2" borderId="14" xfId="1" applyNumberFormat="1" applyFont="1" applyFill="1" applyBorder="1" applyAlignment="1">
      <alignment horizontal="center" vertical="center"/>
    </xf>
    <xf numFmtId="10" fontId="12" fillId="2" borderId="15" xfId="1" applyNumberFormat="1" applyFont="1" applyFill="1" applyBorder="1" applyAlignment="1">
      <alignment horizontal="center" vertical="center"/>
    </xf>
    <xf numFmtId="10" fontId="12" fillId="2" borderId="16" xfId="1" applyNumberFormat="1" applyFont="1" applyFill="1" applyBorder="1" applyAlignment="1">
      <alignment horizontal="center" vertical="center"/>
    </xf>
    <xf numFmtId="10" fontId="12" fillId="2" borderId="17" xfId="1" applyNumberFormat="1" applyFont="1" applyFill="1" applyBorder="1" applyAlignment="1">
      <alignment horizontal="center" vertical="center"/>
    </xf>
    <xf numFmtId="0" fontId="13" fillId="0" borderId="0" xfId="0" applyFont="1">
      <alignment vertical="center"/>
    </xf>
    <xf numFmtId="10" fontId="21" fillId="0" borderId="0" xfId="1" applyNumberFormat="1" applyFont="1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12" fillId="0" borderId="0" xfId="0" applyFont="1" applyBorder="1">
      <alignment vertical="center"/>
    </xf>
    <xf numFmtId="0" fontId="12" fillId="0" borderId="0" xfId="0" applyFont="1" applyFill="1" applyBorder="1">
      <alignment vertical="center"/>
    </xf>
    <xf numFmtId="177" fontId="12" fillId="0" borderId="0" xfId="0" applyNumberFormat="1" applyFont="1" applyBorder="1" applyAlignment="1">
      <alignment horizontal="center" vertical="center"/>
    </xf>
    <xf numFmtId="0" fontId="10" fillId="0" borderId="0" xfId="0" applyFont="1">
      <alignment vertical="center"/>
    </xf>
    <xf numFmtId="0" fontId="20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20" fillId="0" borderId="0" xfId="0" applyFont="1" applyFill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24" fillId="0" borderId="19" xfId="2" applyNumberFormat="1" applyFont="1" applyFill="1" applyBorder="1" applyAlignment="1">
      <alignment vertical="center"/>
    </xf>
    <xf numFmtId="0" fontId="25" fillId="0" borderId="19" xfId="2" applyNumberFormat="1" applyFont="1" applyFill="1" applyBorder="1" applyAlignment="1"/>
    <xf numFmtId="0" fontId="25" fillId="0" borderId="0" xfId="2" applyNumberFormat="1" applyFont="1" applyFill="1" applyBorder="1" applyAlignment="1"/>
    <xf numFmtId="177" fontId="25" fillId="0" borderId="0" xfId="7" applyNumberFormat="1" applyFont="1" applyBorder="1" applyAlignment="1">
      <alignment horizontal="left" vertical="top"/>
    </xf>
    <xf numFmtId="0" fontId="25" fillId="0" borderId="19" xfId="7" applyFont="1" applyBorder="1" applyAlignment="1">
      <alignment horizontal="left" vertical="top"/>
    </xf>
    <xf numFmtId="0" fontId="25" fillId="0" borderId="0" xfId="7" applyFont="1" applyBorder="1" applyAlignment="1">
      <alignment horizontal="left" vertical="top"/>
    </xf>
    <xf numFmtId="0" fontId="25" fillId="0" borderId="20" xfId="7" applyFont="1" applyBorder="1" applyAlignment="1">
      <alignment horizontal="left" vertical="top"/>
    </xf>
    <xf numFmtId="0" fontId="27" fillId="0" borderId="0" xfId="7" applyFont="1" applyBorder="1" applyAlignment="1">
      <alignment horizontal="center" vertical="center" wrapText="1"/>
    </xf>
    <xf numFmtId="0" fontId="28" fillId="0" borderId="0" xfId="7" applyFont="1" applyBorder="1" applyAlignment="1">
      <alignment horizontal="center" vertical="top"/>
    </xf>
    <xf numFmtId="0" fontId="28" fillId="0" borderId="0" xfId="7" applyFont="1" applyBorder="1" applyAlignment="1">
      <alignment horizontal="center" vertical="center"/>
    </xf>
    <xf numFmtId="0" fontId="1" fillId="0" borderId="0" xfId="7" applyBorder="1" applyAlignment="1">
      <alignment vertical="center"/>
    </xf>
    <xf numFmtId="41" fontId="28" fillId="0" borderId="0" xfId="2" applyFont="1" applyFill="1" applyBorder="1" applyAlignment="1">
      <alignment horizontal="right" vertical="center"/>
    </xf>
    <xf numFmtId="177" fontId="28" fillId="0" borderId="0" xfId="7" applyNumberFormat="1" applyFont="1" applyBorder="1" applyAlignment="1">
      <alignment horizontal="center" vertical="center"/>
    </xf>
    <xf numFmtId="0" fontId="28" fillId="0" borderId="21" xfId="7" applyFont="1" applyBorder="1" applyAlignment="1">
      <alignment horizontal="center" vertical="center"/>
    </xf>
    <xf numFmtId="0" fontId="28" fillId="0" borderId="20" xfId="7" applyFont="1" applyBorder="1" applyAlignment="1">
      <alignment vertical="center"/>
    </xf>
    <xf numFmtId="49" fontId="28" fillId="0" borderId="20" xfId="7" applyNumberFormat="1" applyFont="1" applyBorder="1" applyAlignment="1">
      <alignment horizontal="center" vertical="center"/>
    </xf>
    <xf numFmtId="41" fontId="28" fillId="0" borderId="20" xfId="2" applyFont="1" applyBorder="1" applyAlignment="1">
      <alignment horizontal="right" vertical="center"/>
    </xf>
    <xf numFmtId="41" fontId="28" fillId="0" borderId="0" xfId="2" applyFont="1" applyBorder="1" applyAlignment="1">
      <alignment horizontal="right" vertical="center"/>
    </xf>
    <xf numFmtId="0" fontId="28" fillId="0" borderId="20" xfId="7" applyFont="1" applyBorder="1" applyAlignment="1">
      <alignment horizontal="center" vertical="center"/>
    </xf>
    <xf numFmtId="0" fontId="28" fillId="0" borderId="22" xfId="7" applyFont="1" applyBorder="1" applyAlignment="1">
      <alignment vertical="center"/>
    </xf>
    <xf numFmtId="49" fontId="28" fillId="0" borderId="22" xfId="7" applyNumberFormat="1" applyFont="1" applyBorder="1" applyAlignment="1">
      <alignment horizontal="center" vertical="center"/>
    </xf>
    <xf numFmtId="49" fontId="28" fillId="0" borderId="0" xfId="7" applyNumberFormat="1" applyFont="1" applyBorder="1" applyAlignment="1">
      <alignment horizontal="center" vertical="center"/>
    </xf>
    <xf numFmtId="49" fontId="28" fillId="0" borderId="23" xfId="7" applyNumberFormat="1" applyFont="1" applyBorder="1" applyAlignment="1">
      <alignment horizontal="center" vertical="center"/>
    </xf>
    <xf numFmtId="41" fontId="28" fillId="0" borderId="0" xfId="2" applyFont="1" applyBorder="1" applyAlignment="1">
      <alignment horizontal="center" vertical="center"/>
    </xf>
    <xf numFmtId="0" fontId="24" fillId="0" borderId="19" xfId="2" applyNumberFormat="1" applyFont="1" applyFill="1" applyBorder="1" applyAlignment="1">
      <alignment horizontal="center" vertical="center"/>
    </xf>
    <xf numFmtId="0" fontId="20" fillId="0" borderId="24" xfId="0" applyFont="1" applyFill="1" applyBorder="1" applyAlignment="1">
      <alignment horizontal="center" vertical="center" wrapText="1"/>
    </xf>
    <xf numFmtId="41" fontId="28" fillId="0" borderId="0" xfId="2" applyFont="1" applyFill="1" applyBorder="1" applyAlignment="1">
      <alignment horizontal="center" vertical="center"/>
    </xf>
    <xf numFmtId="0" fontId="28" fillId="0" borderId="0" xfId="7" applyFont="1" applyBorder="1" applyAlignment="1">
      <alignment vertical="center"/>
    </xf>
    <xf numFmtId="49" fontId="0" fillId="0" borderId="0" xfId="0" applyNumberFormat="1">
      <alignment vertical="center"/>
    </xf>
    <xf numFmtId="49" fontId="24" fillId="0" borderId="0" xfId="0" applyNumberFormat="1" applyFont="1">
      <alignment vertical="center"/>
    </xf>
    <xf numFmtId="49" fontId="30" fillId="0" borderId="0" xfId="0" applyNumberFormat="1" applyFont="1">
      <alignment vertical="center"/>
    </xf>
    <xf numFmtId="49" fontId="30" fillId="0" borderId="0" xfId="0" applyNumberFormat="1" applyFont="1" applyFill="1">
      <alignment vertical="center"/>
    </xf>
    <xf numFmtId="0" fontId="30" fillId="0" borderId="0" xfId="0" applyFont="1">
      <alignment vertical="center"/>
    </xf>
    <xf numFmtId="0" fontId="10" fillId="0" borderId="25" xfId="2" applyNumberFormat="1" applyFont="1" applyFill="1" applyBorder="1" applyAlignment="1">
      <alignment horizontal="center" vertical="center"/>
    </xf>
    <xf numFmtId="180" fontId="20" fillId="0" borderId="26" xfId="2" applyNumberFormat="1" applyFont="1" applyFill="1" applyBorder="1" applyAlignment="1">
      <alignment horizontal="center" vertical="center"/>
    </xf>
    <xf numFmtId="180" fontId="20" fillId="0" borderId="27" xfId="2" applyNumberFormat="1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2" fillId="0" borderId="0" xfId="7" applyFont="1" applyFill="1" applyBorder="1" applyAlignment="1">
      <alignment horizontal="center" vertical="center"/>
    </xf>
    <xf numFmtId="41" fontId="26" fillId="0" borderId="0" xfId="2" applyFont="1" applyFill="1" applyBorder="1" applyAlignment="1">
      <alignment horizontal="center" vertical="center"/>
    </xf>
    <xf numFmtId="49" fontId="2" fillId="0" borderId="0" xfId="7" applyNumberFormat="1" applyFont="1" applyBorder="1" applyAlignment="1">
      <alignment vertical="center"/>
    </xf>
    <xf numFmtId="49" fontId="31" fillId="0" borderId="0" xfId="7" applyNumberFormat="1" applyFont="1" applyBorder="1" applyAlignment="1">
      <alignment horizontal="left" vertical="center"/>
    </xf>
    <xf numFmtId="49" fontId="31" fillId="0" borderId="0" xfId="7" applyNumberFormat="1" applyFont="1" applyBorder="1" applyAlignment="1">
      <alignment vertical="center"/>
    </xf>
    <xf numFmtId="49" fontId="31" fillId="0" borderId="0" xfId="7" applyNumberFormat="1" applyFont="1" applyBorder="1" applyAlignment="1">
      <alignment horizontal="center" vertical="center"/>
    </xf>
    <xf numFmtId="49" fontId="31" fillId="0" borderId="0" xfId="2" applyNumberFormat="1" applyFont="1" applyBorder="1" applyAlignment="1">
      <alignment horizontal="right" vertical="center"/>
    </xf>
    <xf numFmtId="49" fontId="31" fillId="0" borderId="0" xfId="7" applyNumberFormat="1" applyFont="1" applyFill="1" applyBorder="1" applyAlignment="1">
      <alignment horizontal="left" vertical="center"/>
    </xf>
    <xf numFmtId="41" fontId="28" fillId="0" borderId="20" xfId="2" applyFont="1" applyBorder="1" applyAlignment="1">
      <alignment horizontal="center" vertical="center"/>
    </xf>
    <xf numFmtId="0" fontId="32" fillId="0" borderId="0" xfId="0" applyFont="1" applyAlignment="1">
      <alignment horizontal="justify" vertical="center"/>
    </xf>
    <xf numFmtId="49" fontId="33" fillId="0" borderId="0" xfId="7" applyNumberFormat="1" applyFont="1" applyBorder="1" applyAlignment="1">
      <alignment vertical="center"/>
    </xf>
    <xf numFmtId="0" fontId="2" fillId="0" borderId="0" xfId="7" applyFont="1" applyFill="1" applyBorder="1" applyAlignment="1">
      <alignment vertical="center"/>
    </xf>
    <xf numFmtId="41" fontId="2" fillId="0" borderId="0" xfId="2" applyFont="1" applyFill="1" applyBorder="1" applyAlignment="1">
      <alignment horizontal="center" vertical="center"/>
    </xf>
    <xf numFmtId="195" fontId="29" fillId="0" borderId="0" xfId="2" applyNumberFormat="1" applyFont="1" applyFill="1" applyBorder="1" applyAlignment="1">
      <alignment horizontal="center" vertical="center"/>
    </xf>
    <xf numFmtId="195" fontId="29" fillId="0" borderId="0" xfId="2" applyNumberFormat="1" applyFont="1" applyFill="1" applyBorder="1" applyAlignment="1">
      <alignment vertical="center"/>
    </xf>
    <xf numFmtId="196" fontId="29" fillId="0" borderId="0" xfId="7" applyNumberFormat="1" applyFont="1" applyBorder="1" applyAlignment="1">
      <alignment horizontal="center" vertical="center"/>
    </xf>
    <xf numFmtId="49" fontId="30" fillId="0" borderId="0" xfId="7" applyNumberFormat="1" applyFont="1" applyBorder="1" applyAlignment="1">
      <alignment vertical="center"/>
    </xf>
    <xf numFmtId="180" fontId="20" fillId="0" borderId="0" xfId="2" applyNumberFormat="1" applyFont="1">
      <alignment vertical="center"/>
    </xf>
    <xf numFmtId="0" fontId="20" fillId="0" borderId="0" xfId="0" applyFont="1">
      <alignment vertical="center"/>
    </xf>
    <xf numFmtId="0" fontId="12" fillId="0" borderId="0" xfId="0" applyFont="1" applyBorder="1" applyAlignment="1">
      <alignment horizontal="center" vertical="center"/>
    </xf>
    <xf numFmtId="180" fontId="15" fillId="0" borderId="18" xfId="2" applyNumberFormat="1" applyFont="1" applyBorder="1" applyAlignment="1">
      <alignment horizontal="center" vertical="center" wrapText="1"/>
    </xf>
    <xf numFmtId="192" fontId="12" fillId="2" borderId="0" xfId="2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49" fontId="30" fillId="0" borderId="0" xfId="7" applyNumberFormat="1" applyFont="1" applyBorder="1" applyAlignment="1">
      <alignment horizontal="right" vertical="center"/>
    </xf>
    <xf numFmtId="0" fontId="20" fillId="0" borderId="0" xfId="1" applyNumberFormat="1" applyFont="1" applyAlignment="1">
      <alignment horizontal="center" vertical="center"/>
    </xf>
    <xf numFmtId="192" fontId="12" fillId="2" borderId="0" xfId="1" applyNumberFormat="1" applyFont="1" applyFill="1" applyBorder="1" applyAlignment="1">
      <alignment horizontal="center" vertical="center"/>
    </xf>
    <xf numFmtId="0" fontId="33" fillId="0" borderId="0" xfId="7" applyFont="1" applyBorder="1" applyAlignment="1">
      <alignment horizontal="center" vertical="center" wrapText="1"/>
    </xf>
    <xf numFmtId="0" fontId="33" fillId="0" borderId="18" xfId="7" applyFont="1" applyFill="1" applyBorder="1" applyAlignment="1">
      <alignment horizontal="center" vertical="center" wrapText="1"/>
    </xf>
    <xf numFmtId="49" fontId="33" fillId="0" borderId="18" xfId="7" applyNumberFormat="1" applyFont="1" applyFill="1" applyBorder="1" applyAlignment="1">
      <alignment horizontal="center" vertical="center" wrapText="1"/>
    </xf>
    <xf numFmtId="177" fontId="37" fillId="0" borderId="18" xfId="7" applyNumberFormat="1" applyFont="1" applyBorder="1" applyAlignment="1">
      <alignment vertical="center" wrapText="1"/>
    </xf>
    <xf numFmtId="0" fontId="31" fillId="0" borderId="0" xfId="7" applyFont="1" applyBorder="1" applyAlignment="1">
      <alignment horizontal="center" vertical="top" wrapText="1"/>
    </xf>
    <xf numFmtId="0" fontId="28" fillId="0" borderId="0" xfId="7" applyFont="1" applyBorder="1" applyAlignment="1">
      <alignment horizontal="center" vertical="top" wrapText="1"/>
    </xf>
    <xf numFmtId="0" fontId="31" fillId="0" borderId="0" xfId="7" applyFont="1" applyBorder="1" applyAlignment="1">
      <alignment horizontal="center" vertical="center" wrapText="1"/>
    </xf>
    <xf numFmtId="0" fontId="28" fillId="0" borderId="0" xfId="7" applyFont="1" applyBorder="1" applyAlignment="1">
      <alignment horizontal="center" vertical="center" wrapText="1"/>
    </xf>
    <xf numFmtId="0" fontId="31" fillId="2" borderId="29" xfId="7" applyFont="1" applyFill="1" applyBorder="1" applyAlignment="1">
      <alignment horizontal="center" vertical="center" wrapText="1"/>
    </xf>
    <xf numFmtId="0" fontId="31" fillId="2" borderId="31" xfId="7" applyFont="1" applyFill="1" applyBorder="1" applyAlignment="1">
      <alignment horizontal="center" vertical="center" wrapText="1"/>
    </xf>
    <xf numFmtId="0" fontId="31" fillId="2" borderId="18" xfId="7" applyFont="1" applyFill="1" applyBorder="1" applyAlignment="1">
      <alignment vertical="center" wrapText="1"/>
    </xf>
    <xf numFmtId="41" fontId="31" fillId="2" borderId="18" xfId="2" applyFont="1" applyFill="1" applyBorder="1" applyAlignment="1">
      <alignment vertical="center" wrapText="1"/>
    </xf>
    <xf numFmtId="195" fontId="31" fillId="0" borderId="18" xfId="2" applyNumberFormat="1" applyFont="1" applyBorder="1" applyAlignment="1">
      <alignment horizontal="right" vertical="center" wrapText="1"/>
    </xf>
    <xf numFmtId="0" fontId="31" fillId="0" borderId="0" xfId="7" applyFont="1" applyFill="1" applyBorder="1" applyAlignment="1">
      <alignment horizontal="center" vertical="center"/>
    </xf>
    <xf numFmtId="177" fontId="38" fillId="0" borderId="0" xfId="7" applyNumberFormat="1" applyFont="1" applyBorder="1" applyAlignment="1">
      <alignment horizontal="center" vertical="center"/>
    </xf>
    <xf numFmtId="0" fontId="31" fillId="0" borderId="0" xfId="7" applyFont="1" applyBorder="1" applyAlignment="1">
      <alignment horizontal="center" vertical="center"/>
    </xf>
    <xf numFmtId="0" fontId="31" fillId="0" borderId="0" xfId="7" applyFont="1" applyBorder="1" applyAlignment="1">
      <alignment vertical="center"/>
    </xf>
    <xf numFmtId="41" fontId="31" fillId="0" borderId="0" xfId="2" applyFont="1" applyBorder="1" applyAlignment="1">
      <alignment horizontal="right" vertical="center"/>
    </xf>
    <xf numFmtId="177" fontId="31" fillId="0" borderId="0" xfId="7" applyNumberFormat="1" applyFont="1" applyBorder="1" applyAlignment="1">
      <alignment horizontal="center" vertical="center"/>
    </xf>
    <xf numFmtId="0" fontId="31" fillId="2" borderId="18" xfId="7" applyFont="1" applyFill="1" applyBorder="1" applyAlignment="1">
      <alignment horizontal="center" vertical="center" wrapText="1"/>
    </xf>
    <xf numFmtId="196" fontId="37" fillId="0" borderId="18" xfId="7" applyNumberFormat="1" applyFont="1" applyBorder="1" applyAlignment="1">
      <alignment vertical="center" wrapText="1"/>
    </xf>
    <xf numFmtId="0" fontId="23" fillId="0" borderId="0" xfId="2" applyNumberFormat="1" applyFont="1" applyFill="1" applyBorder="1" applyAlignment="1">
      <alignment vertical="center" wrapText="1"/>
    </xf>
    <xf numFmtId="0" fontId="33" fillId="0" borderId="0" xfId="2" applyNumberFormat="1" applyFont="1" applyFill="1" applyBorder="1" applyAlignment="1">
      <alignment vertical="center" wrapText="1"/>
    </xf>
    <xf numFmtId="41" fontId="31" fillId="0" borderId="0" xfId="2" applyFont="1" applyFill="1" applyBorder="1" applyAlignment="1">
      <alignment wrapText="1"/>
    </xf>
    <xf numFmtId="0" fontId="31" fillId="0" borderId="0" xfId="2" applyNumberFormat="1" applyFont="1" applyFill="1" applyBorder="1" applyAlignment="1">
      <alignment wrapText="1"/>
    </xf>
    <xf numFmtId="0" fontId="31" fillId="0" borderId="0" xfId="7" applyFont="1" applyBorder="1" applyAlignment="1">
      <alignment horizontal="left" vertical="top" wrapText="1"/>
    </xf>
    <xf numFmtId="177" fontId="31" fillId="0" borderId="0" xfId="7" applyNumberFormat="1" applyFont="1" applyBorder="1" applyAlignment="1">
      <alignment horizontal="left" vertical="top" wrapText="1"/>
    </xf>
    <xf numFmtId="41" fontId="31" fillId="0" borderId="0" xfId="2" applyFont="1" applyFill="1" applyBorder="1" applyAlignment="1">
      <alignment horizontal="center" vertical="center"/>
    </xf>
    <xf numFmtId="41" fontId="31" fillId="0" borderId="0" xfId="2" applyFont="1" applyFill="1" applyBorder="1" applyAlignment="1">
      <alignment horizontal="right" vertical="center"/>
    </xf>
    <xf numFmtId="41" fontId="31" fillId="0" borderId="0" xfId="2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15" fillId="0" borderId="18" xfId="0" applyFont="1" applyBorder="1" applyAlignment="1">
      <alignment horizontal="center" vertical="center" wrapText="1"/>
    </xf>
    <xf numFmtId="14" fontId="31" fillId="2" borderId="18" xfId="7" applyNumberFormat="1" applyFont="1" applyFill="1" applyBorder="1" applyAlignment="1" applyProtection="1">
      <alignment horizontal="center" vertical="center" wrapText="1"/>
      <protection locked="0"/>
    </xf>
    <xf numFmtId="0" fontId="21" fillId="2" borderId="18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179" fontId="12" fillId="0" borderId="18" xfId="2" applyNumberFormat="1" applyFont="1" applyFill="1" applyBorder="1" applyAlignment="1">
      <alignment horizontal="center" vertical="center" wrapText="1"/>
    </xf>
    <xf numFmtId="177" fontId="12" fillId="0" borderId="18" xfId="0" applyNumberFormat="1" applyFont="1" applyBorder="1" applyAlignment="1">
      <alignment vertical="center" wrapText="1"/>
    </xf>
    <xf numFmtId="0" fontId="16" fillId="0" borderId="1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179" fontId="12" fillId="0" borderId="32" xfId="2" applyNumberFormat="1" applyFont="1" applyFill="1" applyBorder="1" applyAlignment="1">
      <alignment horizontal="center" vertical="center" wrapText="1"/>
    </xf>
    <xf numFmtId="179" fontId="12" fillId="0" borderId="0" xfId="2" applyNumberFormat="1" applyFont="1" applyFill="1" applyBorder="1" applyAlignment="1">
      <alignment horizontal="center" vertical="center" wrapText="1"/>
    </xf>
    <xf numFmtId="177" fontId="12" fillId="0" borderId="0" xfId="0" applyNumberFormat="1" applyFont="1" applyBorder="1" applyAlignment="1">
      <alignment vertical="center" wrapText="1"/>
    </xf>
    <xf numFmtId="191" fontId="12" fillId="0" borderId="0" xfId="0" applyNumberFormat="1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180" fontId="12" fillId="0" borderId="0" xfId="2" applyNumberFormat="1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191" fontId="21" fillId="0" borderId="0" xfId="0" applyNumberFormat="1" applyFont="1" applyAlignment="1">
      <alignment horizontal="center" vertical="center"/>
    </xf>
    <xf numFmtId="191" fontId="21" fillId="0" borderId="0" xfId="0" applyNumberFormat="1" applyFont="1" applyAlignment="1">
      <alignment horizontal="center" vertical="center" wrapText="1"/>
    </xf>
    <xf numFmtId="191" fontId="12" fillId="0" borderId="18" xfId="0" applyNumberFormat="1" applyFont="1" applyBorder="1" applyAlignment="1">
      <alignment horizontal="center" vertical="center" wrapText="1"/>
    </xf>
    <xf numFmtId="191" fontId="12" fillId="0" borderId="0" xfId="0" applyNumberFormat="1" applyFont="1" applyAlignment="1">
      <alignment horizontal="center" vertical="center" wrapText="1"/>
    </xf>
    <xf numFmtId="191" fontId="11" fillId="0" borderId="0" xfId="0" applyNumberFormat="1" applyFont="1" applyAlignment="1">
      <alignment horizontal="center" vertical="center"/>
    </xf>
    <xf numFmtId="195" fontId="31" fillId="2" borderId="18" xfId="2" applyNumberFormat="1" applyFont="1" applyFill="1" applyBorder="1" applyAlignment="1">
      <alignment horizontal="center" vertical="center" wrapText="1"/>
    </xf>
    <xf numFmtId="177" fontId="12" fillId="0" borderId="18" xfId="0" applyNumberFormat="1" applyFont="1" applyBorder="1" applyAlignment="1">
      <alignment horizontal="center" vertical="center" wrapText="1"/>
    </xf>
    <xf numFmtId="177" fontId="12" fillId="0" borderId="0" xfId="0" applyNumberFormat="1" applyFont="1" applyBorder="1" applyAlignment="1">
      <alignment horizontal="center" vertical="center" wrapText="1"/>
    </xf>
    <xf numFmtId="0" fontId="40" fillId="0" borderId="0" xfId="0" applyFont="1">
      <alignment vertical="center"/>
    </xf>
    <xf numFmtId="0" fontId="41" fillId="0" borderId="0" xfId="0" applyFont="1">
      <alignment vertical="center"/>
    </xf>
    <xf numFmtId="0" fontId="42" fillId="0" borderId="0" xfId="0" applyFont="1">
      <alignment vertical="center"/>
    </xf>
    <xf numFmtId="180" fontId="42" fillId="0" borderId="0" xfId="2" applyNumberFormat="1" applyFont="1">
      <alignment vertical="center"/>
    </xf>
    <xf numFmtId="0" fontId="15" fillId="0" borderId="0" xfId="0" applyFont="1">
      <alignment vertical="center"/>
    </xf>
    <xf numFmtId="0" fontId="6" fillId="0" borderId="0" xfId="0" applyFont="1">
      <alignment vertical="center"/>
    </xf>
    <xf numFmtId="180" fontId="6" fillId="0" borderId="0" xfId="2" applyNumberFormat="1" applyFont="1">
      <alignment vertical="center"/>
    </xf>
    <xf numFmtId="49" fontId="31" fillId="0" borderId="0" xfId="7" applyNumberFormat="1" applyFont="1" applyBorder="1" applyAlignment="1">
      <alignment horizontal="right" vertical="center"/>
    </xf>
    <xf numFmtId="191" fontId="31" fillId="0" borderId="0" xfId="7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41" fontId="12" fillId="2" borderId="9" xfId="2" applyNumberFormat="1" applyFont="1" applyFill="1" applyBorder="1">
      <alignment vertical="center"/>
    </xf>
    <xf numFmtId="10" fontId="12" fillId="0" borderId="18" xfId="0" applyNumberFormat="1" applyFont="1" applyFill="1" applyBorder="1" applyAlignment="1">
      <alignment vertical="center"/>
    </xf>
    <xf numFmtId="180" fontId="15" fillId="0" borderId="0" xfId="2" applyNumberFormat="1" applyFont="1">
      <alignment vertical="center"/>
    </xf>
    <xf numFmtId="191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91" fontId="31" fillId="0" borderId="0" xfId="2" applyNumberFormat="1" applyFont="1" applyBorder="1" applyAlignment="1">
      <alignment horizontal="center" vertical="center"/>
    </xf>
    <xf numFmtId="0" fontId="31" fillId="2" borderId="18" xfId="7" applyFont="1" applyFill="1" applyBorder="1" applyAlignment="1">
      <alignment horizontal="center" vertical="center"/>
    </xf>
    <xf numFmtId="9" fontId="31" fillId="2" borderId="18" xfId="7" applyNumberFormat="1" applyFont="1" applyFill="1" applyBorder="1" applyAlignment="1">
      <alignment horizontal="center" vertical="center"/>
    </xf>
    <xf numFmtId="41" fontId="31" fillId="2" borderId="18" xfId="7" applyNumberFormat="1" applyFont="1" applyFill="1" applyBorder="1" applyAlignment="1">
      <alignment horizontal="center" vertical="center"/>
    </xf>
    <xf numFmtId="41" fontId="31" fillId="2" borderId="18" xfId="1" applyNumberFormat="1" applyFont="1" applyFill="1" applyBorder="1" applyAlignment="1">
      <alignment horizontal="center" vertical="center"/>
    </xf>
    <xf numFmtId="179" fontId="31" fillId="0" borderId="18" xfId="7" applyNumberFormat="1" applyFont="1" applyFill="1" applyBorder="1" applyAlignment="1" applyProtection="1">
      <alignment vertical="center"/>
      <protection locked="0"/>
    </xf>
    <xf numFmtId="179" fontId="31" fillId="0" borderId="18" xfId="7" applyNumberFormat="1" applyFont="1" applyBorder="1" applyAlignment="1" applyProtection="1">
      <alignment vertical="center"/>
      <protection locked="0"/>
    </xf>
    <xf numFmtId="180" fontId="31" fillId="0" borderId="18" xfId="7" applyNumberFormat="1" applyFont="1" applyBorder="1" applyAlignment="1" applyProtection="1">
      <alignment vertical="center"/>
      <protection locked="0"/>
    </xf>
    <xf numFmtId="0" fontId="31" fillId="0" borderId="33" xfId="7" applyFont="1" applyBorder="1" applyAlignment="1">
      <alignment horizontal="center" vertical="center"/>
    </xf>
    <xf numFmtId="0" fontId="31" fillId="0" borderId="0" xfId="7" applyFont="1" applyBorder="1" applyAlignment="1">
      <alignment horizontal="center" vertical="top"/>
    </xf>
    <xf numFmtId="0" fontId="31" fillId="0" borderId="34" xfId="7" applyFont="1" applyBorder="1" applyAlignment="1">
      <alignment horizontal="center" vertical="center"/>
    </xf>
    <xf numFmtId="0" fontId="31" fillId="0" borderId="21" xfId="7" applyFont="1" applyFill="1" applyBorder="1" applyAlignment="1">
      <alignment horizontal="center" vertical="center"/>
    </xf>
    <xf numFmtId="0" fontId="31" fillId="0" borderId="20" xfId="7" applyFont="1" applyFill="1" applyBorder="1" applyAlignment="1">
      <alignment vertical="center"/>
    </xf>
    <xf numFmtId="49" fontId="31" fillId="0" borderId="20" xfId="7" applyNumberFormat="1" applyFont="1" applyFill="1" applyBorder="1" applyAlignment="1">
      <alignment horizontal="center" vertical="center"/>
    </xf>
    <xf numFmtId="0" fontId="31" fillId="0" borderId="21" xfId="7" applyFont="1" applyBorder="1" applyAlignment="1">
      <alignment horizontal="center" vertical="center"/>
    </xf>
    <xf numFmtId="0" fontId="31" fillId="0" borderId="20" xfId="7" applyFont="1" applyBorder="1" applyAlignment="1">
      <alignment vertical="center"/>
    </xf>
    <xf numFmtId="49" fontId="31" fillId="0" borderId="20" xfId="7" applyNumberFormat="1" applyFont="1" applyBorder="1" applyAlignment="1">
      <alignment horizontal="center" vertical="center"/>
    </xf>
    <xf numFmtId="9" fontId="31" fillId="2" borderId="18" xfId="1" applyFont="1" applyFill="1" applyBorder="1" applyAlignment="1">
      <alignment horizontal="center" vertical="center"/>
    </xf>
    <xf numFmtId="191" fontId="31" fillId="2" borderId="18" xfId="7" applyNumberFormat="1" applyFont="1" applyFill="1" applyBorder="1" applyAlignment="1" applyProtection="1">
      <alignment horizontal="center" vertical="center"/>
      <protection locked="0"/>
    </xf>
    <xf numFmtId="14" fontId="31" fillId="2" borderId="18" xfId="7" applyNumberFormat="1" applyFont="1" applyFill="1" applyBorder="1" applyAlignment="1" applyProtection="1">
      <alignment vertical="center"/>
      <protection locked="0"/>
    </xf>
    <xf numFmtId="199" fontId="31" fillId="2" borderId="18" xfId="2" applyNumberFormat="1" applyFont="1" applyFill="1" applyBorder="1" applyAlignment="1">
      <alignment vertical="center"/>
    </xf>
    <xf numFmtId="199" fontId="31" fillId="2" borderId="18" xfId="2" applyNumberFormat="1" applyFont="1" applyFill="1" applyBorder="1" applyAlignment="1">
      <alignment horizontal="center" vertical="center"/>
    </xf>
    <xf numFmtId="191" fontId="31" fillId="2" borderId="18" xfId="7" applyNumberFormat="1" applyFont="1" applyFill="1" applyBorder="1" applyAlignment="1" applyProtection="1">
      <alignment vertical="center"/>
      <protection locked="0"/>
    </xf>
    <xf numFmtId="41" fontId="31" fillId="0" borderId="20" xfId="2" applyFont="1" applyBorder="1" applyAlignment="1">
      <alignment horizontal="right" vertical="center"/>
    </xf>
    <xf numFmtId="0" fontId="36" fillId="0" borderId="18" xfId="0" applyFont="1" applyFill="1" applyBorder="1" applyAlignment="1">
      <alignment horizontal="center" vertical="center" wrapText="1"/>
    </xf>
    <xf numFmtId="0" fontId="25" fillId="0" borderId="0" xfId="2" applyNumberFormat="1" applyFont="1" applyFill="1" applyBorder="1" applyAlignment="1">
      <alignment horizontal="center"/>
    </xf>
    <xf numFmtId="0" fontId="11" fillId="0" borderId="18" xfId="0" applyFont="1" applyBorder="1" applyAlignment="1">
      <alignment horizontal="center" vertical="center"/>
    </xf>
    <xf numFmtId="0" fontId="31" fillId="0" borderId="22" xfId="7" applyFont="1" applyBorder="1" applyAlignment="1">
      <alignment horizontal="center" vertical="center"/>
    </xf>
    <xf numFmtId="0" fontId="28" fillId="0" borderId="22" xfId="7" applyFont="1" applyBorder="1" applyAlignment="1">
      <alignment horizontal="center" vertical="center"/>
    </xf>
    <xf numFmtId="0" fontId="31" fillId="0" borderId="22" xfId="7" applyFont="1" applyFill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9" fontId="12" fillId="0" borderId="35" xfId="1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9" fontId="12" fillId="0" borderId="37" xfId="1" applyFont="1" applyFill="1" applyBorder="1" applyAlignment="1">
      <alignment horizontal="center" vertical="center"/>
    </xf>
    <xf numFmtId="9" fontId="12" fillId="0" borderId="38" xfId="1" applyFont="1" applyFill="1" applyBorder="1" applyAlignment="1">
      <alignment horizontal="center" vertical="center"/>
    </xf>
    <xf numFmtId="180" fontId="12" fillId="0" borderId="35" xfId="2" applyNumberFormat="1" applyFont="1" applyFill="1" applyBorder="1">
      <alignment vertical="center"/>
    </xf>
    <xf numFmtId="41" fontId="12" fillId="2" borderId="39" xfId="2" applyFont="1" applyFill="1" applyBorder="1">
      <alignment vertical="center"/>
    </xf>
    <xf numFmtId="41" fontId="12" fillId="2" borderId="40" xfId="2" applyFont="1" applyFill="1" applyBorder="1">
      <alignment vertical="center"/>
    </xf>
    <xf numFmtId="0" fontId="12" fillId="0" borderId="41" xfId="0" applyFont="1" applyFill="1" applyBorder="1">
      <alignment vertical="center"/>
    </xf>
    <xf numFmtId="180" fontId="12" fillId="0" borderId="41" xfId="2" applyNumberFormat="1" applyFont="1" applyFill="1" applyBorder="1">
      <alignment vertical="center"/>
    </xf>
    <xf numFmtId="41" fontId="12" fillId="2" borderId="42" xfId="2" applyFont="1" applyFill="1" applyBorder="1">
      <alignment vertical="center"/>
    </xf>
    <xf numFmtId="41" fontId="12" fillId="2" borderId="43" xfId="2" applyFont="1" applyFill="1" applyBorder="1">
      <alignment vertical="center"/>
    </xf>
    <xf numFmtId="0" fontId="12" fillId="0" borderId="44" xfId="0" applyFont="1" applyFill="1" applyBorder="1">
      <alignment vertical="center"/>
    </xf>
    <xf numFmtId="180" fontId="12" fillId="0" borderId="44" xfId="2" applyNumberFormat="1" applyFont="1" applyFill="1" applyBorder="1">
      <alignment vertical="center"/>
    </xf>
    <xf numFmtId="10" fontId="12" fillId="2" borderId="45" xfId="1" applyNumberFormat="1" applyFont="1" applyFill="1" applyBorder="1" applyAlignment="1">
      <alignment horizontal="center" vertical="center"/>
    </xf>
    <xf numFmtId="10" fontId="12" fillId="2" borderId="46" xfId="1" applyNumberFormat="1" applyFont="1" applyFill="1" applyBorder="1" applyAlignment="1">
      <alignment horizontal="center" vertical="center"/>
    </xf>
    <xf numFmtId="10" fontId="12" fillId="2" borderId="47" xfId="1" applyNumberFormat="1" applyFont="1" applyFill="1" applyBorder="1" applyAlignment="1">
      <alignment horizontal="center" vertical="center"/>
    </xf>
    <xf numFmtId="10" fontId="12" fillId="2" borderId="48" xfId="1" applyNumberFormat="1" applyFont="1" applyFill="1" applyBorder="1" applyAlignment="1">
      <alignment horizontal="center" vertical="center"/>
    </xf>
    <xf numFmtId="10" fontId="12" fillId="2" borderId="49" xfId="1" applyNumberFormat="1" applyFont="1" applyFill="1" applyBorder="1" applyAlignment="1">
      <alignment horizontal="center" vertical="center"/>
    </xf>
    <xf numFmtId="10" fontId="12" fillId="2" borderId="50" xfId="1" applyNumberFormat="1" applyFont="1" applyFill="1" applyBorder="1" applyAlignment="1">
      <alignment horizontal="center" vertical="center"/>
    </xf>
    <xf numFmtId="200" fontId="12" fillId="0" borderId="51" xfId="2" applyNumberFormat="1" applyFont="1" applyFill="1" applyBorder="1">
      <alignment vertical="center"/>
    </xf>
    <xf numFmtId="190" fontId="12" fillId="0" borderId="52" xfId="2" applyNumberFormat="1" applyFont="1" applyFill="1" applyBorder="1">
      <alignment vertical="center"/>
    </xf>
    <xf numFmtId="200" fontId="12" fillId="0" borderId="53" xfId="2" applyNumberFormat="1" applyFont="1" applyFill="1" applyBorder="1">
      <alignment vertical="center"/>
    </xf>
    <xf numFmtId="190" fontId="12" fillId="0" borderId="54" xfId="2" applyNumberFormat="1" applyFont="1" applyFill="1" applyBorder="1">
      <alignment vertical="center"/>
    </xf>
    <xf numFmtId="180" fontId="12" fillId="0" borderId="55" xfId="2" applyNumberFormat="1" applyFont="1" applyFill="1" applyBorder="1">
      <alignment vertical="center"/>
    </xf>
    <xf numFmtId="9" fontId="12" fillId="0" borderId="56" xfId="1" applyFont="1" applyFill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8" fillId="0" borderId="0" xfId="0" applyFont="1" applyFill="1" applyAlignment="1">
      <alignment vertical="center"/>
    </xf>
    <xf numFmtId="0" fontId="19" fillId="0" borderId="0" xfId="0" applyFont="1">
      <alignment vertical="center"/>
    </xf>
    <xf numFmtId="0" fontId="18" fillId="0" borderId="18" xfId="0" applyFont="1" applyFill="1" applyBorder="1" applyAlignment="1">
      <alignment horizontal="center" vertical="center"/>
    </xf>
    <xf numFmtId="9" fontId="18" fillId="2" borderId="18" xfId="1" applyFont="1" applyFill="1" applyBorder="1" applyAlignment="1">
      <alignment horizontal="center" vertical="center"/>
    </xf>
    <xf numFmtId="9" fontId="18" fillId="0" borderId="18" xfId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8" fillId="2" borderId="18" xfId="0" applyFont="1" applyFill="1" applyBorder="1" applyAlignment="1">
      <alignment horizontal="center" vertical="center" wrapText="1"/>
    </xf>
    <xf numFmtId="0" fontId="10" fillId="0" borderId="57" xfId="2" applyNumberFormat="1" applyFont="1" applyFill="1" applyBorder="1" applyAlignment="1">
      <alignment horizontal="center" vertical="center"/>
    </xf>
    <xf numFmtId="0" fontId="24" fillId="0" borderId="0" xfId="2" applyNumberFormat="1" applyFont="1" applyFill="1" applyBorder="1" applyAlignment="1">
      <alignment vertical="center"/>
    </xf>
    <xf numFmtId="0" fontId="24" fillId="0" borderId="0" xfId="2" applyNumberFormat="1" applyFont="1" applyFill="1" applyBorder="1" applyAlignment="1">
      <alignment horizontal="center" vertical="center"/>
    </xf>
    <xf numFmtId="49" fontId="31" fillId="0" borderId="0" xfId="2" applyNumberFormat="1" applyFont="1" applyBorder="1" applyAlignment="1">
      <alignment horizontal="center" vertical="center"/>
    </xf>
    <xf numFmtId="201" fontId="15" fillId="3" borderId="3" xfId="2" applyNumberFormat="1" applyFont="1" applyFill="1" applyBorder="1" applyAlignment="1">
      <alignment horizontal="center" vertical="center" wrapText="1"/>
    </xf>
    <xf numFmtId="202" fontId="15" fillId="3" borderId="3" xfId="2" applyNumberFormat="1" applyFont="1" applyFill="1" applyBorder="1" applyAlignment="1">
      <alignment horizontal="center" vertical="center" wrapText="1"/>
    </xf>
    <xf numFmtId="0" fontId="24" fillId="2" borderId="0" xfId="2" applyNumberFormat="1" applyFont="1" applyFill="1" applyBorder="1" applyAlignment="1">
      <alignment horizontal="center" vertical="center"/>
    </xf>
    <xf numFmtId="0" fontId="31" fillId="0" borderId="28" xfId="7" applyFont="1" applyFill="1" applyBorder="1" applyAlignment="1">
      <alignment vertical="center" wrapText="1"/>
    </xf>
    <xf numFmtId="0" fontId="31" fillId="0" borderId="58" xfId="7" applyFont="1" applyFill="1" applyBorder="1" applyAlignment="1">
      <alignment vertical="center" wrapText="1"/>
    </xf>
    <xf numFmtId="0" fontId="24" fillId="0" borderId="19" xfId="2" applyNumberFormat="1" applyFont="1" applyFill="1" applyBorder="1" applyAlignment="1">
      <alignment horizontal="left" vertical="center"/>
    </xf>
    <xf numFmtId="0" fontId="10" fillId="0" borderId="59" xfId="0" applyFont="1" applyBorder="1" applyAlignment="1">
      <alignment vertical="center"/>
    </xf>
    <xf numFmtId="0" fontId="10" fillId="0" borderId="59" xfId="0" applyFont="1" applyBorder="1" applyAlignment="1">
      <alignment vertical="center" wrapText="1"/>
    </xf>
    <xf numFmtId="191" fontId="31" fillId="0" borderId="18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60" xfId="0" applyFont="1" applyBorder="1" applyAlignment="1">
      <alignment horizontal="center" vertical="center" wrapText="1"/>
    </xf>
    <xf numFmtId="180" fontId="11" fillId="0" borderId="0" xfId="2" applyNumberFormat="1" applyFont="1" applyBorder="1" applyAlignment="1">
      <alignment horizontal="center" vertical="center"/>
    </xf>
    <xf numFmtId="43" fontId="11" fillId="0" borderId="0" xfId="0" applyNumberFormat="1" applyFont="1" applyBorder="1">
      <alignment vertical="center"/>
    </xf>
    <xf numFmtId="43" fontId="11" fillId="0" borderId="0" xfId="0" applyNumberFormat="1" applyFont="1" applyBorder="1" applyAlignment="1">
      <alignment vertical="center" wrapText="1"/>
    </xf>
    <xf numFmtId="43" fontId="44" fillId="0" borderId="0" xfId="0" applyNumberFormat="1" applyFont="1" applyFill="1" applyBorder="1">
      <alignment vertical="center"/>
    </xf>
    <xf numFmtId="43" fontId="44" fillId="0" borderId="0" xfId="0" applyNumberFormat="1" applyFont="1" applyFill="1" applyBorder="1" applyAlignment="1">
      <alignment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62" xfId="0" applyFont="1" applyBorder="1" applyAlignment="1">
      <alignment horizontal="center" vertical="center" wrapText="1"/>
    </xf>
    <xf numFmtId="178" fontId="11" fillId="0" borderId="63" xfId="1" applyNumberFormat="1" applyFont="1" applyFill="1" applyBorder="1" applyAlignment="1">
      <alignment horizontal="center" vertical="center"/>
    </xf>
    <xf numFmtId="0" fontId="11" fillId="0" borderId="64" xfId="0" applyFont="1" applyBorder="1" applyAlignment="1">
      <alignment horizontal="center" vertical="center" wrapText="1"/>
    </xf>
    <xf numFmtId="0" fontId="11" fillId="0" borderId="65" xfId="0" applyFont="1" applyBorder="1" applyAlignment="1">
      <alignment horizontal="center" vertical="center"/>
    </xf>
    <xf numFmtId="176" fontId="4" fillId="0" borderId="18" xfId="0" applyNumberFormat="1" applyFont="1" applyBorder="1" applyAlignment="1">
      <alignment horizontal="center" vertical="center"/>
    </xf>
    <xf numFmtId="176" fontId="4" fillId="0" borderId="33" xfId="0" applyNumberFormat="1" applyFont="1" applyBorder="1" applyAlignment="1">
      <alignment horizontal="center" vertical="center"/>
    </xf>
    <xf numFmtId="176" fontId="4" fillId="0" borderId="65" xfId="0" applyNumberFormat="1" applyFont="1" applyBorder="1" applyAlignment="1">
      <alignment horizontal="center" vertical="center"/>
    </xf>
    <xf numFmtId="176" fontId="4" fillId="0" borderId="34" xfId="0" applyNumberFormat="1" applyFont="1" applyBorder="1" applyAlignment="1">
      <alignment horizontal="center" vertical="center"/>
    </xf>
    <xf numFmtId="0" fontId="28" fillId="0" borderId="66" xfId="7" applyFont="1" applyBorder="1" applyAlignment="1">
      <alignment horizontal="center" vertical="top" wrapText="1"/>
    </xf>
    <xf numFmtId="0" fontId="28" fillId="0" borderId="67" xfId="7" applyFont="1" applyBorder="1" applyAlignment="1">
      <alignment horizontal="center" vertical="center" wrapText="1"/>
    </xf>
    <xf numFmtId="195" fontId="31" fillId="0" borderId="30" xfId="2" applyNumberFormat="1" applyFont="1" applyFill="1" applyBorder="1" applyAlignment="1">
      <alignment vertical="center" wrapText="1"/>
    </xf>
    <xf numFmtId="177" fontId="38" fillId="5" borderId="65" xfId="2" applyNumberFormat="1" applyFont="1" applyFill="1" applyBorder="1" applyAlignment="1">
      <alignment vertical="center" wrapText="1"/>
    </xf>
    <xf numFmtId="177" fontId="39" fillId="5" borderId="18" xfId="7" applyNumberFormat="1" applyFont="1" applyFill="1" applyBorder="1" applyAlignment="1">
      <alignment vertical="center" wrapText="1"/>
    </xf>
    <xf numFmtId="204" fontId="16" fillId="5" borderId="18" xfId="2" applyNumberFormat="1" applyFont="1" applyFill="1" applyBorder="1" applyAlignment="1">
      <alignment horizontal="center" vertical="center" wrapText="1"/>
    </xf>
    <xf numFmtId="205" fontId="15" fillId="3" borderId="46" xfId="2" applyNumberFormat="1" applyFont="1" applyFill="1" applyBorder="1" applyAlignment="1">
      <alignment horizontal="center" vertical="center" wrapText="1"/>
    </xf>
    <xf numFmtId="205" fontId="15" fillId="3" borderId="3" xfId="2" applyNumberFormat="1" applyFont="1" applyFill="1" applyBorder="1" applyAlignment="1">
      <alignment horizontal="center" vertical="center" wrapText="1"/>
    </xf>
    <xf numFmtId="177" fontId="46" fillId="4" borderId="68" xfId="0" applyNumberFormat="1" applyFont="1" applyFill="1" applyBorder="1" applyAlignment="1">
      <alignment horizontal="center" vertical="center" wrapText="1"/>
    </xf>
    <xf numFmtId="0" fontId="46" fillId="4" borderId="69" xfId="0" applyFont="1" applyFill="1" applyBorder="1" applyAlignment="1">
      <alignment horizontal="center" vertical="center" wrapText="1"/>
    </xf>
    <xf numFmtId="0" fontId="46" fillId="4" borderId="70" xfId="0" applyFont="1" applyFill="1" applyBorder="1" applyAlignment="1">
      <alignment horizontal="center" vertical="center" wrapText="1"/>
    </xf>
    <xf numFmtId="180" fontId="15" fillId="3" borderId="0" xfId="2" applyNumberFormat="1" applyFont="1" applyFill="1" applyAlignment="1">
      <alignment horizontal="center" vertical="center" wrapText="1"/>
    </xf>
    <xf numFmtId="180" fontId="15" fillId="3" borderId="8" xfId="2" applyNumberFormat="1" applyFont="1" applyFill="1" applyBorder="1" applyAlignment="1">
      <alignment horizontal="center" vertical="center" wrapText="1"/>
    </xf>
    <xf numFmtId="41" fontId="16" fillId="0" borderId="71" xfId="2" applyFont="1" applyBorder="1" applyAlignment="1">
      <alignment horizontal="center" vertical="center" wrapText="1"/>
    </xf>
    <xf numFmtId="180" fontId="16" fillId="0" borderId="71" xfId="2" applyNumberFormat="1" applyFont="1" applyBorder="1" applyAlignment="1">
      <alignment horizontal="center" vertical="center" wrapText="1"/>
    </xf>
    <xf numFmtId="180" fontId="16" fillId="0" borderId="72" xfId="2" applyNumberFormat="1" applyFont="1" applyBorder="1" applyAlignment="1">
      <alignment horizontal="center" vertical="center" wrapText="1"/>
    </xf>
    <xf numFmtId="180" fontId="16" fillId="0" borderId="73" xfId="2" applyNumberFormat="1" applyFont="1" applyBorder="1" applyAlignment="1">
      <alignment horizontal="center" vertical="center" wrapText="1"/>
    </xf>
    <xf numFmtId="180" fontId="16" fillId="0" borderId="74" xfId="2" applyNumberFormat="1" applyFont="1" applyBorder="1" applyAlignment="1">
      <alignment horizontal="center" vertical="center" wrapText="1"/>
    </xf>
    <xf numFmtId="180" fontId="16" fillId="0" borderId="75" xfId="2" applyNumberFormat="1" applyFont="1" applyBorder="1" applyAlignment="1">
      <alignment horizontal="center" vertical="center" wrapText="1"/>
    </xf>
    <xf numFmtId="180" fontId="15" fillId="3" borderId="76" xfId="2" applyNumberFormat="1" applyFont="1" applyFill="1" applyBorder="1" applyAlignment="1">
      <alignment horizontal="center" vertical="center" wrapText="1"/>
    </xf>
    <xf numFmtId="180" fontId="15" fillId="3" borderId="77" xfId="2" applyNumberFormat="1" applyFont="1" applyFill="1" applyBorder="1" applyAlignment="1">
      <alignment horizontal="center" vertical="center" wrapText="1"/>
    </xf>
    <xf numFmtId="180" fontId="17" fillId="3" borderId="4" xfId="2" applyNumberFormat="1" applyFont="1" applyFill="1" applyBorder="1" applyAlignment="1">
      <alignment horizontal="center" vertical="center" wrapText="1"/>
    </xf>
    <xf numFmtId="10" fontId="17" fillId="4" borderId="3" xfId="1" applyNumberFormat="1" applyFont="1" applyFill="1" applyBorder="1" applyAlignment="1">
      <alignment horizontal="center" vertical="center" wrapText="1"/>
    </xf>
    <xf numFmtId="10" fontId="17" fillId="4" borderId="78" xfId="1" applyNumberFormat="1" applyFont="1" applyFill="1" applyBorder="1" applyAlignment="1">
      <alignment horizontal="center" vertical="center" wrapText="1"/>
    </xf>
    <xf numFmtId="205" fontId="15" fillId="3" borderId="79" xfId="2" applyNumberFormat="1" applyFont="1" applyFill="1" applyBorder="1" applyAlignment="1">
      <alignment horizontal="center" vertical="center" wrapText="1"/>
    </xf>
    <xf numFmtId="180" fontId="15" fillId="3" borderId="18" xfId="2" applyNumberFormat="1" applyFont="1" applyFill="1" applyBorder="1" applyAlignment="1">
      <alignment horizontal="center" vertical="center" wrapText="1"/>
    </xf>
    <xf numFmtId="180" fontId="15" fillId="3" borderId="31" xfId="2" applyNumberFormat="1" applyFont="1" applyFill="1" applyBorder="1" applyAlignment="1">
      <alignment horizontal="center" vertical="center" wrapText="1"/>
    </xf>
    <xf numFmtId="180" fontId="15" fillId="3" borderId="80" xfId="2" applyNumberFormat="1" applyFont="1" applyFill="1" applyBorder="1" applyAlignment="1">
      <alignment horizontal="center" vertical="center" wrapText="1"/>
    </xf>
    <xf numFmtId="180" fontId="15" fillId="4" borderId="71" xfId="2" applyNumberFormat="1" applyFont="1" applyFill="1" applyBorder="1" applyAlignment="1">
      <alignment horizontal="center" vertical="center" wrapText="1"/>
    </xf>
    <xf numFmtId="205" fontId="15" fillId="3" borderId="81" xfId="2" applyNumberFormat="1" applyFont="1" applyFill="1" applyBorder="1" applyAlignment="1">
      <alignment horizontal="center" vertical="center" wrapText="1"/>
    </xf>
    <xf numFmtId="203" fontId="15" fillId="0" borderId="82" xfId="2" applyNumberFormat="1" applyFont="1" applyBorder="1" applyAlignment="1">
      <alignment horizontal="center" vertical="center" wrapText="1"/>
    </xf>
    <xf numFmtId="10" fontId="6" fillId="5" borderId="20" xfId="1" applyNumberFormat="1" applyFont="1" applyFill="1" applyBorder="1" applyAlignment="1">
      <alignment horizontal="center" vertical="center" wrapText="1"/>
    </xf>
    <xf numFmtId="204" fontId="46" fillId="4" borderId="2" xfId="2" applyNumberFormat="1" applyFont="1" applyFill="1" applyBorder="1" applyAlignment="1">
      <alignment horizontal="center" vertical="center" wrapText="1"/>
    </xf>
    <xf numFmtId="203" fontId="17" fillId="4" borderId="83" xfId="2" applyNumberFormat="1" applyFont="1" applyFill="1" applyBorder="1" applyAlignment="1">
      <alignment horizontal="center" vertical="center" wrapText="1"/>
    </xf>
    <xf numFmtId="204" fontId="17" fillId="4" borderId="83" xfId="2" applyNumberFormat="1" applyFont="1" applyFill="1" applyBorder="1" applyAlignment="1">
      <alignment horizontal="center" vertical="center" wrapText="1"/>
    </xf>
    <xf numFmtId="180" fontId="6" fillId="0" borderId="0" xfId="2" quotePrefix="1" applyNumberFormat="1" applyFont="1" applyAlignment="1">
      <alignment horizontal="center" vertical="center" wrapText="1"/>
    </xf>
    <xf numFmtId="9" fontId="15" fillId="4" borderId="4" xfId="1" applyFont="1" applyFill="1" applyBorder="1" applyAlignment="1">
      <alignment horizontal="center" vertical="center" wrapText="1"/>
    </xf>
    <xf numFmtId="177" fontId="46" fillId="4" borderId="18" xfId="0" applyNumberFormat="1" applyFont="1" applyFill="1" applyBorder="1" applyAlignment="1">
      <alignment horizontal="center" vertical="center" wrapText="1"/>
    </xf>
    <xf numFmtId="206" fontId="15" fillId="4" borderId="3" xfId="2" applyNumberFormat="1" applyFont="1" applyFill="1" applyBorder="1" applyAlignment="1">
      <alignment horizontal="center" vertical="center" wrapText="1"/>
    </xf>
    <xf numFmtId="185" fontId="15" fillId="3" borderId="3" xfId="2" applyNumberFormat="1" applyFont="1" applyFill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shrinkToFit="1"/>
    </xf>
    <xf numFmtId="0" fontId="12" fillId="0" borderId="84" xfId="0" applyFont="1" applyBorder="1" applyAlignment="1">
      <alignment horizontal="center" vertical="center" shrinkToFit="1"/>
    </xf>
    <xf numFmtId="0" fontId="12" fillId="4" borderId="85" xfId="0" applyFont="1" applyFill="1" applyBorder="1" applyAlignment="1">
      <alignment horizontal="center" vertical="center"/>
    </xf>
    <xf numFmtId="0" fontId="12" fillId="4" borderId="86" xfId="0" applyFont="1" applyFill="1" applyBorder="1" applyAlignment="1">
      <alignment horizontal="center" vertical="center"/>
    </xf>
    <xf numFmtId="9" fontId="12" fillId="4" borderId="87" xfId="1" applyFont="1" applyFill="1" applyBorder="1" applyAlignment="1">
      <alignment horizontal="center" vertical="center"/>
    </xf>
    <xf numFmtId="0" fontId="12" fillId="4" borderId="88" xfId="0" applyFont="1" applyFill="1" applyBorder="1" applyAlignment="1">
      <alignment horizontal="center" vertical="center" wrapText="1"/>
    </xf>
    <xf numFmtId="0" fontId="12" fillId="4" borderId="89" xfId="0" applyFont="1" applyFill="1" applyBorder="1" applyAlignment="1">
      <alignment horizontal="center" vertical="center" wrapText="1"/>
    </xf>
    <xf numFmtId="0" fontId="12" fillId="4" borderId="90" xfId="0" applyFont="1" applyFill="1" applyBorder="1" applyAlignment="1">
      <alignment horizontal="center" vertical="center" wrapText="1"/>
    </xf>
    <xf numFmtId="180" fontId="12" fillId="4" borderId="90" xfId="2" applyNumberFormat="1" applyFont="1" applyFill="1" applyBorder="1" applyAlignment="1">
      <alignment horizontal="center" vertical="center"/>
    </xf>
    <xf numFmtId="0" fontId="20" fillId="4" borderId="91" xfId="0" applyFont="1" applyFill="1" applyBorder="1" applyAlignment="1">
      <alignment horizontal="center" vertical="center" wrapText="1"/>
    </xf>
    <xf numFmtId="0" fontId="20" fillId="4" borderId="82" xfId="0" applyFont="1" applyFill="1" applyBorder="1" applyAlignment="1">
      <alignment horizontal="center" vertical="center" wrapText="1"/>
    </xf>
    <xf numFmtId="0" fontId="20" fillId="4" borderId="92" xfId="0" applyFont="1" applyFill="1" applyBorder="1" applyAlignment="1">
      <alignment horizontal="center" vertical="center" wrapText="1"/>
    </xf>
    <xf numFmtId="0" fontId="20" fillId="4" borderId="93" xfId="0" applyFont="1" applyFill="1" applyBorder="1" applyAlignment="1">
      <alignment horizontal="center" vertical="center" wrapText="1"/>
    </xf>
    <xf numFmtId="0" fontId="20" fillId="4" borderId="94" xfId="0" applyFont="1" applyFill="1" applyBorder="1" applyAlignment="1">
      <alignment horizontal="center" vertical="center" wrapText="1"/>
    </xf>
    <xf numFmtId="0" fontId="20" fillId="4" borderId="95" xfId="0" applyFont="1" applyFill="1" applyBorder="1" applyAlignment="1">
      <alignment horizontal="center" vertical="center" wrapText="1"/>
    </xf>
    <xf numFmtId="0" fontId="20" fillId="4" borderId="71" xfId="0" applyFont="1" applyFill="1" applyBorder="1" applyAlignment="1">
      <alignment horizontal="center" vertical="center" wrapText="1"/>
    </xf>
    <xf numFmtId="0" fontId="20" fillId="4" borderId="96" xfId="0" applyFont="1" applyFill="1" applyBorder="1" applyAlignment="1">
      <alignment horizontal="center" vertical="center" wrapText="1"/>
    </xf>
    <xf numFmtId="0" fontId="20" fillId="4" borderId="97" xfId="0" applyFont="1" applyFill="1" applyBorder="1" applyAlignment="1">
      <alignment horizontal="center" vertical="center" wrapText="1"/>
    </xf>
    <xf numFmtId="0" fontId="20" fillId="4" borderId="30" xfId="0" applyFont="1" applyFill="1" applyBorder="1" applyAlignment="1">
      <alignment horizontal="center" vertical="center" wrapText="1"/>
    </xf>
    <xf numFmtId="0" fontId="12" fillId="4" borderId="98" xfId="0" applyFont="1" applyFill="1" applyBorder="1" applyAlignment="1">
      <alignment horizontal="center" vertical="center"/>
    </xf>
    <xf numFmtId="0" fontId="12" fillId="4" borderId="99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 wrapText="1"/>
    </xf>
    <xf numFmtId="0" fontId="11" fillId="4" borderId="100" xfId="0" applyFont="1" applyFill="1" applyBorder="1" applyAlignment="1">
      <alignment horizontal="center" vertical="center" shrinkToFit="1"/>
    </xf>
    <xf numFmtId="43" fontId="44" fillId="0" borderId="101" xfId="0" applyNumberFormat="1" applyFont="1" applyFill="1" applyBorder="1" applyAlignment="1">
      <alignment vertical="center" wrapText="1"/>
    </xf>
    <xf numFmtId="0" fontId="45" fillId="0" borderId="85" xfId="0" applyFont="1" applyFill="1" applyBorder="1" applyAlignment="1">
      <alignment horizontal="center" vertical="center"/>
    </xf>
    <xf numFmtId="0" fontId="45" fillId="0" borderId="64" xfId="0" applyFont="1" applyFill="1" applyBorder="1" applyAlignment="1">
      <alignment horizontal="center" vertical="center"/>
    </xf>
    <xf numFmtId="0" fontId="45" fillId="0" borderId="102" xfId="0" applyFont="1" applyFill="1" applyBorder="1" applyAlignment="1">
      <alignment horizontal="center" vertical="center"/>
    </xf>
    <xf numFmtId="0" fontId="48" fillId="0" borderId="31" xfId="0" applyFont="1" applyFill="1" applyBorder="1" applyAlignment="1">
      <alignment horizontal="center" vertical="center" wrapText="1"/>
    </xf>
    <xf numFmtId="0" fontId="50" fillId="0" borderId="31" xfId="0" applyFont="1" applyFill="1" applyBorder="1" applyAlignment="1">
      <alignment horizontal="center" vertical="center"/>
    </xf>
    <xf numFmtId="0" fontId="48" fillId="0" borderId="103" xfId="0" applyFont="1" applyFill="1" applyBorder="1" applyAlignment="1">
      <alignment horizontal="center" vertical="center" wrapText="1"/>
    </xf>
    <xf numFmtId="0" fontId="45" fillId="0" borderId="104" xfId="0" applyFont="1" applyBorder="1" applyAlignment="1">
      <alignment horizontal="center" vertical="center"/>
    </xf>
    <xf numFmtId="0" fontId="45" fillId="0" borderId="86" xfId="0" applyFont="1" applyBorder="1" applyAlignment="1">
      <alignment horizontal="center" vertical="center"/>
    </xf>
    <xf numFmtId="0" fontId="45" fillId="0" borderId="105" xfId="0" applyFont="1" applyBorder="1" applyAlignment="1">
      <alignment horizontal="center" vertical="center"/>
    </xf>
    <xf numFmtId="0" fontId="48" fillId="0" borderId="0" xfId="0" applyFont="1" applyBorder="1" applyAlignment="1">
      <alignment horizontal="justify" vertical="center" wrapText="1"/>
    </xf>
    <xf numFmtId="0" fontId="45" fillId="0" borderId="0" xfId="0" applyFont="1">
      <alignment vertical="center"/>
    </xf>
    <xf numFmtId="0" fontId="52" fillId="0" borderId="0" xfId="0" applyFont="1">
      <alignment vertical="center"/>
    </xf>
    <xf numFmtId="0" fontId="53" fillId="0" borderId="106" xfId="0" applyFont="1" applyBorder="1" applyAlignment="1">
      <alignment horizontal="center" vertical="center"/>
    </xf>
    <xf numFmtId="0" fontId="53" fillId="0" borderId="107" xfId="0" applyFont="1" applyBorder="1" applyAlignment="1">
      <alignment horizontal="center" vertical="center"/>
    </xf>
    <xf numFmtId="0" fontId="53" fillId="0" borderId="86" xfId="0" applyFont="1" applyBorder="1" applyAlignment="1">
      <alignment horizontal="center" vertical="center"/>
    </xf>
    <xf numFmtId="0" fontId="53" fillId="0" borderId="105" xfId="0" applyFont="1" applyBorder="1" applyAlignment="1">
      <alignment horizontal="center" vertical="center"/>
    </xf>
    <xf numFmtId="0" fontId="54" fillId="0" borderId="108" xfId="0" applyFont="1" applyBorder="1" applyAlignment="1">
      <alignment horizontal="center" vertical="center" wrapText="1"/>
    </xf>
    <xf numFmtId="0" fontId="54" fillId="0" borderId="109" xfId="0" applyFont="1" applyBorder="1" applyAlignment="1">
      <alignment vertical="center" wrapText="1"/>
    </xf>
    <xf numFmtId="0" fontId="54" fillId="0" borderId="110" xfId="0" applyFont="1" applyBorder="1" applyAlignment="1">
      <alignment vertical="center" wrapText="1"/>
    </xf>
    <xf numFmtId="0" fontId="55" fillId="0" borderId="111" xfId="0" applyFont="1" applyBorder="1" applyAlignment="1">
      <alignment horizontal="justify" vertical="center" wrapText="1"/>
    </xf>
    <xf numFmtId="0" fontId="43" fillId="4" borderId="112" xfId="0" applyFont="1" applyFill="1" applyBorder="1" applyAlignment="1">
      <alignment horizontal="center" vertical="center" wrapText="1"/>
    </xf>
    <xf numFmtId="0" fontId="28" fillId="0" borderId="0" xfId="7" applyFont="1" applyFill="1" applyBorder="1" applyAlignment="1">
      <alignment horizontal="center" vertical="center"/>
    </xf>
    <xf numFmtId="0" fontId="28" fillId="0" borderId="0" xfId="7" applyFont="1" applyFill="1" applyBorder="1" applyAlignment="1">
      <alignment horizontal="center" vertical="top"/>
    </xf>
    <xf numFmtId="0" fontId="33" fillId="4" borderId="86" xfId="7" applyFont="1" applyFill="1" applyBorder="1" applyAlignment="1">
      <alignment horizontal="center" vertical="center" wrapText="1"/>
    </xf>
    <xf numFmtId="0" fontId="33" fillId="4" borderId="113" xfId="7" applyFont="1" applyFill="1" applyBorder="1" applyAlignment="1">
      <alignment horizontal="center" vertical="center" wrapText="1"/>
    </xf>
    <xf numFmtId="0" fontId="33" fillId="4" borderId="64" xfId="7" applyFont="1" applyFill="1" applyBorder="1" applyAlignment="1">
      <alignment horizontal="center" vertical="center" wrapText="1"/>
    </xf>
    <xf numFmtId="0" fontId="33" fillId="4" borderId="114" xfId="7" applyFont="1" applyFill="1" applyBorder="1" applyAlignment="1">
      <alignment horizontal="center" vertical="center" wrapText="1"/>
    </xf>
    <xf numFmtId="49" fontId="33" fillId="4" borderId="114" xfId="7" applyNumberFormat="1" applyFont="1" applyFill="1" applyBorder="1" applyAlignment="1">
      <alignment horizontal="center" vertical="center" wrapText="1"/>
    </xf>
    <xf numFmtId="0" fontId="33" fillId="4" borderId="105" xfId="7" applyFont="1" applyFill="1" applyBorder="1" applyAlignment="1">
      <alignment horizontal="center" vertical="center" wrapText="1"/>
    </xf>
    <xf numFmtId="0" fontId="33" fillId="4" borderId="104" xfId="7" applyFont="1" applyFill="1" applyBorder="1" applyAlignment="1">
      <alignment horizontal="center" vertical="center" wrapText="1"/>
    </xf>
    <xf numFmtId="180" fontId="15" fillId="0" borderId="79" xfId="2" applyNumberFormat="1" applyFont="1" applyBorder="1" applyAlignment="1">
      <alignment horizontal="center" vertical="center" wrapText="1"/>
    </xf>
    <xf numFmtId="0" fontId="16" fillId="0" borderId="79" xfId="2" applyNumberFormat="1" applyFont="1" applyBorder="1" applyAlignment="1">
      <alignment horizontal="center" vertical="center" wrapText="1"/>
    </xf>
    <xf numFmtId="180" fontId="15" fillId="0" borderId="79" xfId="2" applyNumberFormat="1" applyFont="1" applyFill="1" applyBorder="1" applyAlignment="1">
      <alignment horizontal="center" vertical="center" wrapText="1"/>
    </xf>
    <xf numFmtId="176" fontId="15" fillId="4" borderId="79" xfId="2" applyNumberFormat="1" applyFont="1" applyFill="1" applyBorder="1" applyAlignment="1">
      <alignment horizontal="center" vertical="center" wrapText="1"/>
    </xf>
    <xf numFmtId="180" fontId="16" fillId="0" borderId="115" xfId="2" applyNumberFormat="1" applyFont="1" applyBorder="1" applyAlignment="1">
      <alignment horizontal="center" vertical="center" wrapText="1"/>
    </xf>
    <xf numFmtId="49" fontId="31" fillId="0" borderId="0" xfId="7" applyNumberFormat="1" applyFont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9" fontId="15" fillId="4" borderId="3" xfId="1" applyNumberFormat="1" applyFont="1" applyFill="1" applyBorder="1" applyAlignment="1">
      <alignment horizontal="center" vertical="center" wrapText="1"/>
    </xf>
    <xf numFmtId="180" fontId="15" fillId="0" borderId="2" xfId="2" applyNumberFormat="1" applyFont="1" applyBorder="1" applyAlignment="1">
      <alignment horizontal="center" vertical="center" wrapText="1"/>
    </xf>
    <xf numFmtId="0" fontId="12" fillId="4" borderId="94" xfId="0" applyFont="1" applyFill="1" applyBorder="1" applyAlignment="1">
      <alignment horizontal="center" vertical="center"/>
    </xf>
    <xf numFmtId="180" fontId="15" fillId="0" borderId="3" xfId="2" quotePrefix="1" applyNumberFormat="1" applyFont="1" applyBorder="1" applyAlignment="1">
      <alignment horizontal="center" vertical="center" wrapText="1"/>
    </xf>
    <xf numFmtId="9" fontId="15" fillId="4" borderId="3" xfId="1" quotePrefix="1" applyFont="1" applyFill="1" applyBorder="1" applyAlignment="1">
      <alignment horizontal="center" vertical="center" wrapText="1"/>
    </xf>
    <xf numFmtId="180" fontId="20" fillId="0" borderId="116" xfId="2" applyNumberFormat="1" applyFont="1" applyFill="1" applyBorder="1" applyAlignment="1">
      <alignment horizontal="center" vertical="center"/>
    </xf>
    <xf numFmtId="0" fontId="12" fillId="4" borderId="28" xfId="0" applyFont="1" applyFill="1" applyBorder="1" applyAlignment="1">
      <alignment horizontal="center" vertical="center" wrapText="1"/>
    </xf>
    <xf numFmtId="0" fontId="12" fillId="4" borderId="100" xfId="0" applyFont="1" applyFill="1" applyBorder="1" applyAlignment="1">
      <alignment horizontal="center" vertical="center" wrapText="1"/>
    </xf>
    <xf numFmtId="0" fontId="12" fillId="4" borderId="117" xfId="0" applyFont="1" applyFill="1" applyBorder="1" applyAlignment="1">
      <alignment horizontal="center" vertical="center" wrapText="1"/>
    </xf>
    <xf numFmtId="9" fontId="12" fillId="2" borderId="59" xfId="1" applyFont="1" applyFill="1" applyBorder="1">
      <alignment vertical="center"/>
    </xf>
    <xf numFmtId="0" fontId="12" fillId="4" borderId="115" xfId="0" applyFont="1" applyFill="1" applyBorder="1" applyAlignment="1">
      <alignment horizontal="center" vertical="center" wrapText="1"/>
    </xf>
    <xf numFmtId="0" fontId="12" fillId="4" borderId="118" xfId="0" applyFont="1" applyFill="1" applyBorder="1" applyAlignment="1">
      <alignment horizontal="center" vertical="center" wrapText="1"/>
    </xf>
    <xf numFmtId="9" fontId="12" fillId="2" borderId="119" xfId="1" applyFont="1" applyFill="1" applyBorder="1">
      <alignment vertical="center"/>
    </xf>
    <xf numFmtId="0" fontId="12" fillId="4" borderId="18" xfId="0" applyFont="1" applyFill="1" applyBorder="1" applyAlignment="1">
      <alignment horizontal="center" vertical="center"/>
    </xf>
    <xf numFmtId="0" fontId="12" fillId="0" borderId="120" xfId="0" applyFont="1" applyFill="1" applyBorder="1" applyAlignment="1">
      <alignment horizontal="center" vertical="center"/>
    </xf>
    <xf numFmtId="0" fontId="12" fillId="2" borderId="120" xfId="0" applyFont="1" applyFill="1" applyBorder="1" applyAlignment="1">
      <alignment horizontal="center" vertical="center"/>
    </xf>
    <xf numFmtId="193" fontId="12" fillId="2" borderId="121" xfId="0" applyNumberFormat="1" applyFont="1" applyFill="1" applyBorder="1" applyAlignment="1">
      <alignment vertical="center"/>
    </xf>
    <xf numFmtId="43" fontId="13" fillId="6" borderId="120" xfId="2" applyNumberFormat="1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193" fontId="12" fillId="2" borderId="26" xfId="0" applyNumberFormat="1" applyFont="1" applyFill="1" applyBorder="1" applyAlignment="1">
      <alignment vertical="center"/>
    </xf>
    <xf numFmtId="0" fontId="5" fillId="7" borderId="0" xfId="0" applyFont="1" applyFill="1">
      <alignment vertical="center"/>
    </xf>
    <xf numFmtId="0" fontId="12" fillId="0" borderId="116" xfId="0" applyFont="1" applyFill="1" applyBorder="1" applyAlignment="1">
      <alignment horizontal="center" vertical="center" wrapText="1"/>
    </xf>
    <xf numFmtId="193" fontId="12" fillId="2" borderId="116" xfId="0" applyNumberFormat="1" applyFont="1" applyFill="1" applyBorder="1" applyAlignment="1">
      <alignment vertical="center"/>
    </xf>
    <xf numFmtId="43" fontId="13" fillId="6" borderId="30" xfId="2" applyNumberFormat="1" applyFont="1" applyFill="1" applyBorder="1" applyAlignment="1">
      <alignment horizontal="center" vertical="center"/>
    </xf>
    <xf numFmtId="0" fontId="12" fillId="0" borderId="56" xfId="0" applyFont="1" applyFill="1" applyBorder="1" applyAlignment="1">
      <alignment horizontal="center" vertical="center"/>
    </xf>
    <xf numFmtId="180" fontId="12" fillId="2" borderId="55" xfId="2" applyNumberFormat="1" applyFont="1" applyFill="1" applyBorder="1" applyAlignment="1">
      <alignment vertical="center"/>
    </xf>
    <xf numFmtId="180" fontId="12" fillId="2" borderId="52" xfId="2" applyNumberFormat="1" applyFont="1" applyFill="1" applyBorder="1" applyAlignment="1">
      <alignment vertical="center"/>
    </xf>
    <xf numFmtId="193" fontId="47" fillId="2" borderId="122" xfId="0" applyNumberFormat="1" applyFont="1" applyFill="1" applyBorder="1" applyAlignment="1">
      <alignment horizontal="center" vertical="center" wrapText="1"/>
    </xf>
    <xf numFmtId="193" fontId="47" fillId="2" borderId="123" xfId="0" applyNumberFormat="1" applyFont="1" applyFill="1" applyBorder="1" applyAlignment="1">
      <alignment horizontal="center" vertical="center" wrapText="1"/>
    </xf>
    <xf numFmtId="0" fontId="12" fillId="0" borderId="116" xfId="0" applyFont="1" applyFill="1" applyBorder="1" applyAlignment="1">
      <alignment horizontal="center" vertical="center"/>
    </xf>
    <xf numFmtId="193" fontId="12" fillId="0" borderId="90" xfId="0" applyNumberFormat="1" applyFont="1" applyFill="1" applyBorder="1" applyAlignment="1">
      <alignment vertical="center"/>
    </xf>
    <xf numFmtId="0" fontId="12" fillId="0" borderId="124" xfId="0" applyFont="1" applyFill="1" applyBorder="1" applyAlignment="1">
      <alignment horizontal="center" vertical="center"/>
    </xf>
    <xf numFmtId="193" fontId="12" fillId="2" borderId="125" xfId="2" applyNumberFormat="1" applyFont="1" applyFill="1" applyBorder="1" applyAlignment="1">
      <alignment vertical="center"/>
    </xf>
    <xf numFmtId="193" fontId="12" fillId="2" borderId="126" xfId="2" applyNumberFormat="1" applyFont="1" applyFill="1" applyBorder="1" applyAlignment="1">
      <alignment vertical="center"/>
    </xf>
    <xf numFmtId="0" fontId="12" fillId="0" borderId="30" xfId="0" applyFont="1" applyFill="1" applyBorder="1" applyAlignment="1">
      <alignment horizontal="center" vertical="center"/>
    </xf>
    <xf numFmtId="193" fontId="12" fillId="0" borderId="127" xfId="0" applyNumberFormat="1" applyFont="1" applyFill="1" applyBorder="1" applyAlignment="1">
      <alignment vertical="center"/>
    </xf>
    <xf numFmtId="193" fontId="12" fillId="0" borderId="119" xfId="0" applyNumberFormat="1" applyFont="1" applyFill="1" applyBorder="1" applyAlignment="1">
      <alignment vertical="center"/>
    </xf>
    <xf numFmtId="0" fontId="12" fillId="4" borderId="18" xfId="0" applyFont="1" applyFill="1" applyBorder="1" applyAlignment="1">
      <alignment horizontal="center" vertical="center" wrapText="1"/>
    </xf>
    <xf numFmtId="193" fontId="12" fillId="2" borderId="124" xfId="2" applyNumberFormat="1" applyFont="1" applyFill="1" applyBorder="1" applyAlignment="1">
      <alignment vertical="center"/>
    </xf>
    <xf numFmtId="193" fontId="12" fillId="0" borderId="98" xfId="2" applyNumberFormat="1" applyFont="1" applyFill="1" applyBorder="1" applyAlignment="1">
      <alignment vertical="center"/>
    </xf>
    <xf numFmtId="193" fontId="12" fillId="0" borderId="90" xfId="2" applyNumberFormat="1" applyFont="1" applyFill="1" applyBorder="1" applyAlignment="1">
      <alignment vertical="center"/>
    </xf>
    <xf numFmtId="0" fontId="12" fillId="0" borderId="63" xfId="0" applyFont="1" applyFill="1" applyBorder="1" applyAlignment="1">
      <alignment horizontal="center" vertical="center"/>
    </xf>
    <xf numFmtId="193" fontId="12" fillId="0" borderId="128" xfId="0" applyNumberFormat="1" applyFont="1" applyFill="1" applyBorder="1" applyAlignment="1">
      <alignment vertical="center"/>
    </xf>
    <xf numFmtId="193" fontId="12" fillId="0" borderId="129" xfId="0" applyNumberFormat="1" applyFont="1" applyFill="1" applyBorder="1" applyAlignment="1">
      <alignment vertical="center"/>
    </xf>
    <xf numFmtId="180" fontId="13" fillId="6" borderId="117" xfId="2" applyNumberFormat="1" applyFont="1" applyFill="1" applyBorder="1" applyAlignment="1">
      <alignment vertical="center"/>
    </xf>
    <xf numFmtId="177" fontId="13" fillId="6" borderId="130" xfId="0" applyNumberFormat="1" applyFont="1" applyFill="1" applyBorder="1" applyAlignment="1">
      <alignment horizontal="center" vertical="center"/>
    </xf>
    <xf numFmtId="180" fontId="13" fillId="6" borderId="131" xfId="2" applyNumberFormat="1" applyFont="1" applyFill="1" applyBorder="1" applyAlignment="1">
      <alignment vertical="center"/>
    </xf>
    <xf numFmtId="9" fontId="12" fillId="2" borderId="19" xfId="1" applyFont="1" applyFill="1" applyBorder="1" applyAlignment="1">
      <alignment horizontal="center" vertical="center"/>
    </xf>
    <xf numFmtId="9" fontId="12" fillId="2" borderId="132" xfId="1" applyFont="1" applyFill="1" applyBorder="1" applyAlignment="1">
      <alignment horizontal="center" vertical="center"/>
    </xf>
    <xf numFmtId="180" fontId="12" fillId="4" borderId="88" xfId="2" applyNumberFormat="1" applyFont="1" applyFill="1" applyBorder="1" applyAlignment="1">
      <alignment horizontal="center" vertical="center"/>
    </xf>
    <xf numFmtId="0" fontId="20" fillId="0" borderId="133" xfId="0" applyFont="1" applyFill="1" applyBorder="1" applyAlignment="1">
      <alignment horizontal="center" vertical="center" wrapText="1"/>
    </xf>
    <xf numFmtId="0" fontId="10" fillId="0" borderId="134" xfId="2" applyNumberFormat="1" applyFont="1" applyFill="1" applyBorder="1" applyAlignment="1">
      <alignment horizontal="center" vertical="center"/>
    </xf>
    <xf numFmtId="180" fontId="20" fillId="0" borderId="124" xfId="2" applyNumberFormat="1" applyFont="1" applyFill="1" applyBorder="1" applyAlignment="1">
      <alignment horizontal="center" vertical="center"/>
    </xf>
    <xf numFmtId="0" fontId="10" fillId="0" borderId="135" xfId="2" applyNumberFormat="1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 wrapText="1"/>
    </xf>
    <xf numFmtId="0" fontId="10" fillId="0" borderId="28" xfId="2" applyNumberFormat="1" applyFont="1" applyFill="1" applyBorder="1" applyAlignment="1">
      <alignment horizontal="center" vertical="center"/>
    </xf>
    <xf numFmtId="180" fontId="20" fillId="0" borderId="18" xfId="2" applyNumberFormat="1" applyFont="1" applyFill="1" applyBorder="1" applyAlignment="1">
      <alignment horizontal="center" vertical="center"/>
    </xf>
    <xf numFmtId="0" fontId="4" fillId="4" borderId="18" xfId="0" applyFont="1" applyFill="1" applyBorder="1">
      <alignment vertical="center"/>
    </xf>
    <xf numFmtId="179" fontId="12" fillId="0" borderId="136" xfId="0" applyNumberFormat="1" applyFont="1" applyFill="1" applyBorder="1">
      <alignment vertical="center"/>
    </xf>
    <xf numFmtId="179" fontId="12" fillId="0" borderId="137" xfId="0" applyNumberFormat="1" applyFont="1" applyFill="1" applyBorder="1">
      <alignment vertical="center"/>
    </xf>
    <xf numFmtId="0" fontId="36" fillId="2" borderId="18" xfId="0" applyFont="1" applyFill="1" applyBorder="1" applyAlignment="1">
      <alignment horizontal="center" vertical="center" wrapText="1"/>
    </xf>
    <xf numFmtId="0" fontId="5" fillId="2" borderId="18" xfId="0" applyFont="1" applyFill="1" applyBorder="1">
      <alignment vertical="center"/>
    </xf>
    <xf numFmtId="0" fontId="36" fillId="2" borderId="18" xfId="0" applyFont="1" applyFill="1" applyBorder="1" applyAlignment="1">
      <alignment horizontal="justify" vertical="center" wrapText="1"/>
    </xf>
    <xf numFmtId="0" fontId="48" fillId="2" borderId="18" xfId="0" applyFont="1" applyFill="1" applyBorder="1" applyAlignment="1">
      <alignment horizontal="center" vertical="center" wrapText="1"/>
    </xf>
    <xf numFmtId="0" fontId="48" fillId="2" borderId="33" xfId="0" applyFont="1" applyFill="1" applyBorder="1" applyAlignment="1">
      <alignment horizontal="center" vertical="center" wrapText="1"/>
    </xf>
    <xf numFmtId="0" fontId="11" fillId="0" borderId="138" xfId="0" applyFont="1" applyBorder="1">
      <alignment vertical="center"/>
    </xf>
    <xf numFmtId="0" fontId="12" fillId="4" borderId="102" xfId="0" applyFont="1" applyFill="1" applyBorder="1" applyAlignment="1">
      <alignment horizontal="center" vertical="center" wrapText="1"/>
    </xf>
    <xf numFmtId="43" fontId="44" fillId="6" borderId="34" xfId="0" applyNumberFormat="1" applyFont="1" applyFill="1" applyBorder="1" applyAlignment="1">
      <alignment vertical="center" wrapText="1"/>
    </xf>
    <xf numFmtId="180" fontId="31" fillId="5" borderId="18" xfId="7" applyNumberFormat="1" applyFont="1" applyFill="1" applyBorder="1" applyAlignment="1" applyProtection="1">
      <alignment vertical="center"/>
      <protection locked="0"/>
    </xf>
    <xf numFmtId="180" fontId="31" fillId="5" borderId="65" xfId="7" applyNumberFormat="1" applyFont="1" applyFill="1" applyBorder="1" applyAlignment="1">
      <alignment vertical="center"/>
    </xf>
    <xf numFmtId="0" fontId="55" fillId="5" borderId="139" xfId="0" applyFont="1" applyFill="1" applyBorder="1" applyAlignment="1">
      <alignment horizontal="center" vertical="center" wrapText="1"/>
    </xf>
    <xf numFmtId="191" fontId="31" fillId="0" borderId="0" xfId="7" applyNumberFormat="1" applyFont="1" applyBorder="1" applyAlignment="1">
      <alignment horizontal="right" vertical="center"/>
    </xf>
    <xf numFmtId="0" fontId="49" fillId="5" borderId="140" xfId="0" applyFont="1" applyFill="1" applyBorder="1" applyAlignment="1">
      <alignment horizontal="center" vertical="center" wrapText="1"/>
    </xf>
    <xf numFmtId="0" fontId="31" fillId="2" borderId="18" xfId="7" applyFont="1" applyFill="1" applyBorder="1" applyAlignment="1">
      <alignment vertical="center" shrinkToFit="1"/>
    </xf>
    <xf numFmtId="14" fontId="31" fillId="2" borderId="18" xfId="1" applyNumberFormat="1" applyFont="1" applyFill="1" applyBorder="1" applyAlignment="1">
      <alignment horizontal="center" vertical="center" wrapText="1"/>
    </xf>
    <xf numFmtId="0" fontId="31" fillId="2" borderId="18" xfId="7" applyFont="1" applyFill="1" applyBorder="1" applyAlignment="1">
      <alignment vertical="center" wrapText="1" shrinkToFit="1"/>
    </xf>
    <xf numFmtId="0" fontId="24" fillId="0" borderId="0" xfId="2" applyNumberFormat="1" applyFont="1" applyFill="1" applyBorder="1" applyAlignment="1">
      <alignment horizontal="center" vertical="center" shrinkToFit="1"/>
    </xf>
    <xf numFmtId="0" fontId="31" fillId="2" borderId="18" xfId="7" applyFont="1" applyFill="1" applyBorder="1" applyAlignment="1">
      <alignment horizontal="left" vertical="center" wrapText="1" shrinkToFit="1"/>
    </xf>
    <xf numFmtId="0" fontId="31" fillId="2" borderId="18" xfId="0" applyFont="1" applyFill="1" applyBorder="1" applyAlignment="1">
      <alignment horizontal="left" vertical="center" wrapText="1"/>
    </xf>
    <xf numFmtId="0" fontId="31" fillId="2" borderId="18" xfId="0" applyFont="1" applyFill="1" applyBorder="1" applyAlignment="1">
      <alignment horizontal="center" vertical="center" wrapText="1"/>
    </xf>
    <xf numFmtId="207" fontId="31" fillId="2" borderId="18" xfId="0" applyNumberFormat="1" applyFont="1" applyFill="1" applyBorder="1" applyAlignment="1">
      <alignment horizontal="center" vertical="center"/>
    </xf>
    <xf numFmtId="197" fontId="31" fillId="2" borderId="18" xfId="2" applyNumberFormat="1" applyFont="1" applyFill="1" applyBorder="1" applyAlignment="1">
      <alignment horizontal="right" vertical="center" wrapText="1"/>
    </xf>
    <xf numFmtId="208" fontId="31" fillId="2" borderId="18" xfId="0" applyNumberFormat="1" applyFont="1" applyFill="1" applyBorder="1" applyAlignment="1">
      <alignment horizontal="right" vertical="center"/>
    </xf>
    <xf numFmtId="43" fontId="4" fillId="0" borderId="0" xfId="0" applyNumberFormat="1" applyFont="1">
      <alignment vertical="center"/>
    </xf>
    <xf numFmtId="0" fontId="31" fillId="2" borderId="30" xfId="7" applyFont="1" applyFill="1" applyBorder="1" applyAlignment="1">
      <alignment horizontal="left" vertical="center" wrapText="1"/>
    </xf>
    <xf numFmtId="0" fontId="49" fillId="2" borderId="18" xfId="0" applyFont="1" applyFill="1" applyBorder="1" applyAlignment="1">
      <alignment horizontal="center" vertical="center" wrapText="1"/>
    </xf>
    <xf numFmtId="0" fontId="31" fillId="2" borderId="18" xfId="7" applyFont="1" applyFill="1" applyBorder="1" applyAlignment="1">
      <alignment horizontal="left" vertical="center" wrapText="1"/>
    </xf>
    <xf numFmtId="0" fontId="54" fillId="2" borderId="141" xfId="0" applyFont="1" applyFill="1" applyBorder="1" applyAlignment="1">
      <alignment horizontal="center" vertical="center" wrapText="1"/>
    </xf>
    <xf numFmtId="0" fontId="55" fillId="2" borderId="142" xfId="0" applyFont="1" applyFill="1" applyBorder="1" applyAlignment="1">
      <alignment horizontal="center" vertical="center" wrapText="1"/>
    </xf>
    <xf numFmtId="195" fontId="31" fillId="7" borderId="143" xfId="2" applyNumberFormat="1" applyFont="1" applyFill="1" applyBorder="1" applyAlignment="1">
      <alignment horizontal="center" vertical="center" wrapText="1"/>
    </xf>
    <xf numFmtId="195" fontId="34" fillId="5" borderId="144" xfId="2" applyNumberFormat="1" applyFont="1" applyFill="1" applyBorder="1" applyAlignment="1">
      <alignment horizontal="right" vertical="center" wrapText="1"/>
    </xf>
    <xf numFmtId="195" fontId="37" fillId="7" borderId="143" xfId="7" applyNumberFormat="1" applyFont="1" applyFill="1" applyBorder="1" applyAlignment="1">
      <alignment horizontal="center" vertical="center" wrapText="1"/>
    </xf>
    <xf numFmtId="196" fontId="45" fillId="5" borderId="144" xfId="7" applyNumberFormat="1" applyFont="1" applyFill="1" applyBorder="1" applyAlignment="1">
      <alignment vertical="center" wrapText="1"/>
    </xf>
    <xf numFmtId="0" fontId="31" fillId="0" borderId="145" xfId="7" applyFont="1" applyBorder="1" applyAlignment="1">
      <alignment horizontal="center" vertical="top" wrapText="1"/>
    </xf>
    <xf numFmtId="0" fontId="10" fillId="0" borderId="146" xfId="0" applyFont="1" applyFill="1" applyBorder="1" applyAlignment="1">
      <alignment horizontal="center" vertical="center"/>
    </xf>
    <xf numFmtId="209" fontId="10" fillId="2" borderId="145" xfId="0" applyNumberFormat="1" applyFont="1" applyFill="1" applyBorder="1" applyAlignment="1">
      <alignment horizontal="center" vertical="center"/>
    </xf>
    <xf numFmtId="0" fontId="11" fillId="4" borderId="115" xfId="0" applyFont="1" applyFill="1" applyBorder="1" applyAlignment="1">
      <alignment horizontal="center" vertical="center" shrinkToFit="1"/>
    </xf>
    <xf numFmtId="178" fontId="11" fillId="0" borderId="147" xfId="1" applyNumberFormat="1" applyFont="1" applyFill="1" applyBorder="1" applyAlignment="1">
      <alignment horizontal="center" vertical="center"/>
    </xf>
    <xf numFmtId="178" fontId="11" fillId="0" borderId="148" xfId="1" applyNumberFormat="1" applyFont="1" applyFill="1" applyBorder="1" applyAlignment="1">
      <alignment horizontal="center" vertical="center"/>
    </xf>
    <xf numFmtId="0" fontId="11" fillId="0" borderId="149" xfId="0" applyFont="1" applyBorder="1" applyAlignment="1">
      <alignment horizontal="center" vertical="center" wrapText="1"/>
    </xf>
    <xf numFmtId="0" fontId="11" fillId="0" borderId="65" xfId="0" applyFont="1" applyBorder="1" applyAlignment="1">
      <alignment horizontal="center" vertical="center" wrapText="1"/>
    </xf>
    <xf numFmtId="180" fontId="44" fillId="6" borderId="65" xfId="2" applyNumberFormat="1" applyFont="1" applyFill="1" applyBorder="1" applyAlignment="1">
      <alignment horizontal="center" vertical="center"/>
    </xf>
    <xf numFmtId="0" fontId="35" fillId="0" borderId="18" xfId="0" applyFont="1" applyFill="1" applyBorder="1" applyAlignment="1">
      <alignment horizontal="center" vertical="center" wrapText="1"/>
    </xf>
    <xf numFmtId="179" fontId="11" fillId="0" borderId="150" xfId="2" applyNumberFormat="1" applyFont="1" applyFill="1" applyBorder="1" applyAlignment="1">
      <alignment horizontal="center" vertical="center"/>
    </xf>
    <xf numFmtId="202" fontId="11" fillId="0" borderId="0" xfId="0" applyNumberFormat="1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0" fontId="31" fillId="0" borderId="0" xfId="2" applyNumberFormat="1" applyFont="1" applyFill="1" applyBorder="1" applyAlignment="1">
      <alignment horizontal="center"/>
    </xf>
    <xf numFmtId="14" fontId="31" fillId="0" borderId="0" xfId="2" applyNumberFormat="1" applyFont="1" applyFill="1" applyBorder="1" applyAlignment="1"/>
    <xf numFmtId="0" fontId="43" fillId="4" borderId="151" xfId="0" applyFont="1" applyFill="1" applyBorder="1" applyAlignment="1">
      <alignment horizontal="center" vertical="center" wrapText="1"/>
    </xf>
    <xf numFmtId="0" fontId="43" fillId="4" borderId="152" xfId="0" applyFont="1" applyFill="1" applyBorder="1" applyAlignment="1">
      <alignment horizontal="center" vertical="center" wrapText="1"/>
    </xf>
    <xf numFmtId="198" fontId="31" fillId="0" borderId="33" xfId="2" applyNumberFormat="1" applyFont="1" applyBorder="1" applyAlignment="1">
      <alignment horizontal="right" vertical="center"/>
    </xf>
    <xf numFmtId="198" fontId="31" fillId="5" borderId="33" xfId="2" applyNumberFormat="1" applyFont="1" applyFill="1" applyBorder="1" applyAlignment="1">
      <alignment horizontal="right" vertical="center"/>
    </xf>
    <xf numFmtId="198" fontId="31" fillId="5" borderId="34" xfId="2" applyNumberFormat="1" applyFont="1" applyFill="1" applyBorder="1" applyAlignment="1">
      <alignment horizontal="right" vertical="center"/>
    </xf>
    <xf numFmtId="9" fontId="31" fillId="2" borderId="18" xfId="1" applyFont="1" applyFill="1" applyBorder="1" applyAlignment="1">
      <alignment horizontal="center" vertical="center" wrapText="1"/>
    </xf>
    <xf numFmtId="14" fontId="31" fillId="2" borderId="18" xfId="7" applyNumberFormat="1" applyFont="1" applyFill="1" applyBorder="1" applyAlignment="1" applyProtection="1">
      <alignment horizontal="center" vertical="center"/>
      <protection locked="0"/>
    </xf>
    <xf numFmtId="10" fontId="4" fillId="0" borderId="0" xfId="0" applyNumberFormat="1" applyFont="1">
      <alignment vertical="center"/>
    </xf>
    <xf numFmtId="10" fontId="21" fillId="0" borderId="0" xfId="0" applyNumberFormat="1" applyFont="1" applyAlignment="1">
      <alignment vertical="center" wrapText="1"/>
    </xf>
    <xf numFmtId="10" fontId="28" fillId="0" borderId="0" xfId="7" applyNumberFormat="1" applyFont="1" applyBorder="1" applyAlignment="1">
      <alignment horizontal="center" vertical="center"/>
    </xf>
    <xf numFmtId="10" fontId="42" fillId="0" borderId="0" xfId="0" applyNumberFormat="1" applyFont="1">
      <alignment vertical="center"/>
    </xf>
    <xf numFmtId="10" fontId="4" fillId="0" borderId="0" xfId="0" applyNumberFormat="1" applyFont="1" applyFill="1">
      <alignment vertical="center"/>
    </xf>
    <xf numFmtId="10" fontId="0" fillId="0" borderId="0" xfId="0" applyNumberFormat="1">
      <alignment vertical="center"/>
    </xf>
    <xf numFmtId="180" fontId="11" fillId="0" borderId="153" xfId="2" applyNumberFormat="1" applyFont="1" applyFill="1" applyBorder="1" applyAlignment="1">
      <alignment horizontal="center" vertical="center"/>
    </xf>
    <xf numFmtId="180" fontId="11" fillId="0" borderId="154" xfId="2" applyNumberFormat="1" applyFont="1" applyFill="1" applyBorder="1" applyAlignment="1">
      <alignment horizontal="center" vertical="center"/>
    </xf>
    <xf numFmtId="0" fontId="1" fillId="0" borderId="0" xfId="7" applyFont="1" applyBorder="1" applyAlignment="1">
      <alignment horizontal="center" vertical="center" wrapText="1"/>
    </xf>
    <xf numFmtId="0" fontId="59" fillId="0" borderId="0" xfId="0" applyFont="1" applyAlignment="1">
      <alignment horizontal="center" vertical="center"/>
    </xf>
    <xf numFmtId="0" fontId="10" fillId="0" borderId="155" xfId="2" applyNumberFormat="1" applyFont="1" applyFill="1" applyBorder="1" applyAlignment="1">
      <alignment horizontal="center" vertical="center"/>
    </xf>
    <xf numFmtId="180" fontId="20" fillId="0" borderId="120" xfId="2" applyNumberFormat="1" applyFont="1" applyFill="1" applyBorder="1" applyAlignment="1">
      <alignment horizontal="center" vertical="center"/>
    </xf>
    <xf numFmtId="177" fontId="10" fillId="0" borderId="18" xfId="2" applyNumberFormat="1" applyFont="1" applyFill="1" applyBorder="1" applyAlignment="1">
      <alignment vertical="center"/>
    </xf>
    <xf numFmtId="14" fontId="33" fillId="2" borderId="18" xfId="7" applyNumberFormat="1" applyFont="1" applyFill="1" applyBorder="1" applyAlignment="1" applyProtection="1">
      <alignment horizontal="center" vertical="center" wrapText="1"/>
      <protection locked="0"/>
    </xf>
    <xf numFmtId="180" fontId="17" fillId="3" borderId="4" xfId="2" applyNumberFormat="1" applyFont="1" applyFill="1" applyBorder="1" applyAlignment="1">
      <alignment horizontal="center" vertical="center" shrinkToFit="1"/>
    </xf>
    <xf numFmtId="0" fontId="12" fillId="4" borderId="156" xfId="0" applyFont="1" applyFill="1" applyBorder="1" applyAlignment="1">
      <alignment horizontal="center" vertical="center" shrinkToFit="1"/>
    </xf>
    <xf numFmtId="0" fontId="48" fillId="0" borderId="29" xfId="0" applyFont="1" applyFill="1" applyBorder="1" applyAlignment="1">
      <alignment horizontal="center" vertical="center" wrapText="1"/>
    </xf>
    <xf numFmtId="0" fontId="48" fillId="2" borderId="157" xfId="0" applyFont="1" applyFill="1" applyBorder="1" applyAlignment="1">
      <alignment horizontal="center" vertical="center" wrapText="1"/>
    </xf>
    <xf numFmtId="0" fontId="12" fillId="4" borderId="59" xfId="0" applyFont="1" applyFill="1" applyBorder="1" applyAlignment="1">
      <alignment horizontal="center" vertical="center" wrapText="1"/>
    </xf>
    <xf numFmtId="0" fontId="12" fillId="4" borderId="119" xfId="0" applyFont="1" applyFill="1" applyBorder="1" applyAlignment="1">
      <alignment horizontal="center" vertical="center" wrapText="1"/>
    </xf>
    <xf numFmtId="0" fontId="12" fillId="4" borderId="158" xfId="0" applyFont="1" applyFill="1" applyBorder="1" applyAlignment="1">
      <alignment horizontal="center" vertical="center" wrapText="1"/>
    </xf>
    <xf numFmtId="0" fontId="31" fillId="0" borderId="0" xfId="7" applyFont="1" applyFill="1" applyBorder="1" applyAlignment="1">
      <alignment horizontal="center" vertical="center" wrapText="1"/>
    </xf>
    <xf numFmtId="177" fontId="39" fillId="0" borderId="0" xfId="7" applyNumberFormat="1" applyFont="1" applyBorder="1" applyAlignment="1">
      <alignment vertical="center" wrapText="1"/>
    </xf>
    <xf numFmtId="0" fontId="31" fillId="2" borderId="30" xfId="7" applyFont="1" applyFill="1" applyBorder="1" applyAlignment="1">
      <alignment horizontal="center" vertical="center"/>
    </xf>
    <xf numFmtId="0" fontId="12" fillId="4" borderId="159" xfId="0" applyFont="1" applyFill="1" applyBorder="1" applyAlignment="1">
      <alignment horizontal="center" vertical="center" shrinkToFit="1"/>
    </xf>
    <xf numFmtId="9" fontId="31" fillId="2" borderId="30" xfId="7" applyNumberFormat="1" applyFont="1" applyFill="1" applyBorder="1" applyAlignment="1">
      <alignment horizontal="center" vertical="center"/>
    </xf>
    <xf numFmtId="41" fontId="31" fillId="2" borderId="30" xfId="7" applyNumberFormat="1" applyFont="1" applyFill="1" applyBorder="1" applyAlignment="1">
      <alignment horizontal="center" vertical="center"/>
    </xf>
    <xf numFmtId="41" fontId="31" fillId="2" borderId="30" xfId="1" applyNumberFormat="1" applyFont="1" applyFill="1" applyBorder="1" applyAlignment="1">
      <alignment horizontal="center" vertical="center"/>
    </xf>
    <xf numFmtId="179" fontId="31" fillId="0" borderId="30" xfId="7" applyNumberFormat="1" applyFont="1" applyFill="1" applyBorder="1" applyAlignment="1" applyProtection="1">
      <alignment vertical="center"/>
      <protection locked="0"/>
    </xf>
    <xf numFmtId="179" fontId="31" fillId="0" borderId="30" xfId="7" applyNumberFormat="1" applyFont="1" applyBorder="1" applyAlignment="1" applyProtection="1">
      <alignment vertical="center"/>
      <protection locked="0"/>
    </xf>
    <xf numFmtId="180" fontId="31" fillId="0" borderId="30" xfId="7" applyNumberFormat="1" applyFont="1" applyBorder="1" applyAlignment="1" applyProtection="1">
      <alignment vertical="center"/>
      <protection locked="0"/>
    </xf>
    <xf numFmtId="0" fontId="31" fillId="0" borderId="157" xfId="7" applyFont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 shrinkToFit="1"/>
    </xf>
    <xf numFmtId="0" fontId="11" fillId="4" borderId="33" xfId="0" applyFont="1" applyFill="1" applyBorder="1" applyAlignment="1">
      <alignment horizontal="center" vertical="center" shrinkToFit="1"/>
    </xf>
    <xf numFmtId="0" fontId="31" fillId="0" borderId="160" xfId="7" applyFont="1" applyFill="1" applyBorder="1" applyAlignment="1">
      <alignment horizontal="center" vertical="center"/>
    </xf>
    <xf numFmtId="0" fontId="31" fillId="0" borderId="31" xfId="7" applyFont="1" applyFill="1" applyBorder="1" applyAlignment="1">
      <alignment horizontal="center" vertical="center"/>
    </xf>
    <xf numFmtId="0" fontId="49" fillId="0" borderId="34" xfId="0" applyFont="1" applyFill="1" applyBorder="1" applyAlignment="1">
      <alignment horizontal="center" vertical="center" wrapText="1"/>
    </xf>
    <xf numFmtId="0" fontId="23" fillId="0" borderId="0" xfId="2" applyNumberFormat="1" applyFont="1" applyFill="1" applyBorder="1" applyAlignment="1">
      <alignment horizontal="left" vertical="center" wrapText="1"/>
    </xf>
    <xf numFmtId="14" fontId="31" fillId="2" borderId="18" xfId="2" applyNumberFormat="1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180" fontId="10" fillId="0" borderId="18" xfId="2" applyNumberFormat="1" applyFont="1" applyFill="1" applyBorder="1" applyAlignment="1">
      <alignment horizontal="center" vertical="center"/>
    </xf>
    <xf numFmtId="14" fontId="1" fillId="0" borderId="0" xfId="2" applyNumberFormat="1" applyFont="1" applyFill="1" applyBorder="1" applyAlignment="1"/>
    <xf numFmtId="0" fontId="33" fillId="4" borderId="85" xfId="7" applyFont="1" applyFill="1" applyBorder="1" applyAlignment="1">
      <alignment horizontal="center" vertical="center" wrapText="1"/>
    </xf>
    <xf numFmtId="0" fontId="33" fillId="4" borderId="102" xfId="7" applyFont="1" applyFill="1" applyBorder="1" applyAlignment="1">
      <alignment horizontal="center" vertical="center" wrapText="1"/>
    </xf>
    <xf numFmtId="0" fontId="14" fillId="0" borderId="0" xfId="0" applyFont="1" applyBorder="1">
      <alignment vertical="center"/>
    </xf>
    <xf numFmtId="0" fontId="21" fillId="0" borderId="0" xfId="0" applyFont="1" applyBorder="1">
      <alignment vertical="center"/>
    </xf>
    <xf numFmtId="180" fontId="21" fillId="0" borderId="0" xfId="2" applyNumberFormat="1" applyFont="1" applyBorder="1">
      <alignment vertical="center"/>
    </xf>
    <xf numFmtId="0" fontId="24" fillId="0" borderId="0" xfId="2" applyNumberFormat="1" applyFont="1" applyFill="1" applyBorder="1" applyAlignment="1">
      <alignment vertical="center" shrinkToFit="1"/>
    </xf>
    <xf numFmtId="0" fontId="23" fillId="0" borderId="0" xfId="7" applyFont="1" applyBorder="1" applyAlignment="1">
      <alignment horizontal="center" vertical="center" wrapText="1"/>
    </xf>
    <xf numFmtId="0" fontId="31" fillId="0" borderId="33" xfId="7" applyFont="1" applyBorder="1" applyAlignment="1">
      <alignment horizontal="center" vertical="center" wrapText="1"/>
    </xf>
    <xf numFmtId="0" fontId="60" fillId="0" borderId="0" xfId="0" applyFont="1" applyAlignment="1">
      <alignment horizontal="center" vertical="center"/>
    </xf>
    <xf numFmtId="0" fontId="12" fillId="4" borderId="88" xfId="0" applyFont="1" applyFill="1" applyBorder="1" applyAlignment="1">
      <alignment horizontal="center" vertical="center"/>
    </xf>
    <xf numFmtId="0" fontId="12" fillId="4" borderId="90" xfId="0" applyFont="1" applyFill="1" applyBorder="1" applyAlignment="1">
      <alignment horizontal="center" vertical="center"/>
    </xf>
    <xf numFmtId="0" fontId="31" fillId="0" borderId="161" xfId="7" applyFont="1" applyFill="1" applyBorder="1" applyAlignment="1">
      <alignment horizontal="center" vertical="center"/>
    </xf>
    <xf numFmtId="180" fontId="15" fillId="0" borderId="162" xfId="2" applyNumberFormat="1" applyFont="1" applyBorder="1" applyAlignment="1">
      <alignment horizontal="center" vertical="center" wrapText="1"/>
    </xf>
    <xf numFmtId="180" fontId="15" fillId="0" borderId="22" xfId="2" applyNumberFormat="1" applyFont="1" applyBorder="1" applyAlignment="1">
      <alignment horizontal="center" vertical="center" wrapText="1"/>
    </xf>
    <xf numFmtId="0" fontId="48" fillId="0" borderId="65" xfId="0" applyFont="1" applyFill="1" applyBorder="1" applyAlignment="1">
      <alignment horizontal="center" vertical="center" wrapText="1"/>
    </xf>
    <xf numFmtId="0" fontId="12" fillId="4" borderId="89" xfId="0" applyFont="1" applyFill="1" applyBorder="1" applyAlignment="1">
      <alignment horizontal="center" vertical="center"/>
    </xf>
    <xf numFmtId="0" fontId="43" fillId="4" borderId="85" xfId="0" applyFont="1" applyFill="1" applyBorder="1" applyAlignment="1">
      <alignment horizontal="center" vertical="center" wrapText="1"/>
    </xf>
    <xf numFmtId="0" fontId="43" fillId="4" borderId="64" xfId="0" applyFont="1" applyFill="1" applyBorder="1" applyAlignment="1">
      <alignment horizontal="center" vertical="center" wrapText="1"/>
    </xf>
    <xf numFmtId="0" fontId="43" fillId="4" borderId="102" xfId="0" applyFont="1" applyFill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/>
    </xf>
    <xf numFmtId="193" fontId="12" fillId="0" borderId="116" xfId="2" applyNumberFormat="1" applyFont="1" applyFill="1" applyBorder="1" applyAlignment="1">
      <alignment vertical="center"/>
    </xf>
    <xf numFmtId="177" fontId="13" fillId="6" borderId="163" xfId="0" applyNumberFormat="1" applyFont="1" applyFill="1" applyBorder="1" applyAlignment="1">
      <alignment horizontal="center" vertical="center"/>
    </xf>
    <xf numFmtId="41" fontId="12" fillId="2" borderId="164" xfId="2" applyFont="1" applyFill="1" applyBorder="1" applyAlignment="1">
      <alignment vertical="center"/>
    </xf>
    <xf numFmtId="41" fontId="12" fillId="2" borderId="100" xfId="2" applyFont="1" applyFill="1" applyBorder="1" applyAlignment="1">
      <alignment vertical="center"/>
    </xf>
    <xf numFmtId="180" fontId="13" fillId="6" borderId="165" xfId="2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209" fontId="10" fillId="0" borderId="66" xfId="0" applyNumberFormat="1" applyFont="1" applyFill="1" applyBorder="1" applyAlignment="1">
      <alignment horizontal="center" vertical="center"/>
    </xf>
    <xf numFmtId="0" fontId="48" fillId="0" borderId="166" xfId="0" applyFont="1" applyBorder="1" applyAlignment="1">
      <alignment horizontal="center" vertical="center" wrapText="1"/>
    </xf>
    <xf numFmtId="9" fontId="51" fillId="0" borderId="167" xfId="1" applyFont="1" applyFill="1" applyBorder="1" applyAlignment="1">
      <alignment horizontal="center" vertical="center"/>
    </xf>
    <xf numFmtId="0" fontId="48" fillId="2" borderId="168" xfId="0" applyFont="1" applyFill="1" applyBorder="1" applyAlignment="1">
      <alignment horizontal="center" vertical="center" wrapText="1"/>
    </xf>
    <xf numFmtId="0" fontId="49" fillId="5" borderId="169" xfId="0" applyFont="1" applyFill="1" applyBorder="1" applyAlignment="1">
      <alignment horizontal="center" vertical="center" wrapText="1"/>
    </xf>
    <xf numFmtId="0" fontId="61" fillId="2" borderId="18" xfId="7" applyFont="1" applyFill="1" applyBorder="1" applyAlignment="1">
      <alignment horizontal="left" vertical="center" wrapText="1"/>
    </xf>
    <xf numFmtId="41" fontId="12" fillId="2" borderId="88" xfId="2" applyNumberFormat="1" applyFont="1" applyFill="1" applyBorder="1">
      <alignment vertical="center"/>
    </xf>
    <xf numFmtId="41" fontId="12" fillId="2" borderId="89" xfId="2" applyNumberFormat="1" applyFont="1" applyFill="1" applyBorder="1">
      <alignment vertical="center"/>
    </xf>
    <xf numFmtId="14" fontId="31" fillId="2" borderId="18" xfId="0" applyNumberFormat="1" applyFont="1" applyFill="1" applyBorder="1" applyAlignment="1">
      <alignment horizontal="center" vertical="center" wrapText="1"/>
    </xf>
    <xf numFmtId="0" fontId="62" fillId="2" borderId="18" xfId="0" applyFont="1" applyFill="1" applyBorder="1" applyAlignment="1">
      <alignment horizontal="center" vertical="center" wrapText="1"/>
    </xf>
    <xf numFmtId="193" fontId="12" fillId="2" borderId="123" xfId="2" applyNumberFormat="1" applyFont="1" applyFill="1" applyBorder="1" applyAlignment="1">
      <alignment vertical="center"/>
    </xf>
    <xf numFmtId="180" fontId="31" fillId="0" borderId="0" xfId="2" applyNumberFormat="1" applyFont="1" applyBorder="1" applyAlignment="1">
      <alignment horizontal="right" vertical="center"/>
    </xf>
    <xf numFmtId="0" fontId="33" fillId="0" borderId="101" xfId="7" applyFont="1" applyBorder="1" applyAlignment="1">
      <alignment horizontal="center" vertical="center" wrapText="1"/>
    </xf>
    <xf numFmtId="0" fontId="30" fillId="0" borderId="0" xfId="7" applyFont="1" applyBorder="1" applyAlignment="1">
      <alignment horizontal="center" vertical="center" wrapText="1"/>
    </xf>
    <xf numFmtId="177" fontId="37" fillId="0" borderId="138" xfId="7" applyNumberFormat="1" applyFont="1" applyBorder="1" applyAlignment="1">
      <alignment horizontal="center" vertical="center" wrapText="1"/>
    </xf>
    <xf numFmtId="191" fontId="31" fillId="2" borderId="18" xfId="7" applyNumberFormat="1" applyFont="1" applyFill="1" applyBorder="1" applyAlignment="1" applyProtection="1">
      <alignment vertical="center" wrapText="1"/>
      <protection locked="0"/>
    </xf>
    <xf numFmtId="191" fontId="31" fillId="2" borderId="18" xfId="7" applyNumberFormat="1" applyFont="1" applyFill="1" applyBorder="1" applyAlignment="1" applyProtection="1">
      <alignment horizontal="center" vertical="center" wrapText="1"/>
      <protection locked="0"/>
    </xf>
    <xf numFmtId="195" fontId="31" fillId="0" borderId="18" xfId="2" applyNumberFormat="1" applyFont="1" applyFill="1" applyBorder="1" applyAlignment="1">
      <alignment vertical="center" wrapText="1"/>
    </xf>
    <xf numFmtId="178" fontId="31" fillId="0" borderId="18" xfId="1" applyNumberFormat="1" applyFont="1" applyFill="1" applyBorder="1" applyAlignment="1">
      <alignment vertical="center" wrapText="1"/>
    </xf>
    <xf numFmtId="0" fontId="31" fillId="0" borderId="18" xfId="7" applyFont="1" applyFill="1" applyBorder="1" applyAlignment="1">
      <alignment vertical="center" wrapText="1"/>
    </xf>
    <xf numFmtId="0" fontId="31" fillId="0" borderId="65" xfId="7" applyFont="1" applyFill="1" applyBorder="1" applyAlignment="1">
      <alignment vertical="center" wrapText="1"/>
    </xf>
    <xf numFmtId="0" fontId="31" fillId="0" borderId="138" xfId="7" applyFont="1" applyBorder="1" applyAlignment="1">
      <alignment horizontal="center" vertical="center" wrapText="1"/>
    </xf>
    <xf numFmtId="0" fontId="31" fillId="0" borderId="101" xfId="7" applyFont="1" applyBorder="1" applyAlignment="1">
      <alignment horizontal="center" vertical="center" wrapText="1"/>
    </xf>
    <xf numFmtId="195" fontId="12" fillId="0" borderId="35" xfId="2" applyNumberFormat="1" applyFont="1" applyFill="1" applyBorder="1">
      <alignment vertical="center"/>
    </xf>
    <xf numFmtId="0" fontId="12" fillId="0" borderId="18" xfId="0" applyFont="1" applyBorder="1" applyAlignment="1">
      <alignment horizontal="center" vertical="center" shrinkToFit="1"/>
    </xf>
    <xf numFmtId="0" fontId="24" fillId="0" borderId="0" xfId="2" applyNumberFormat="1" applyFont="1" applyFill="1" applyBorder="1" applyAlignment="1">
      <alignment horizontal="center" vertical="center" wrapText="1"/>
    </xf>
    <xf numFmtId="0" fontId="31" fillId="2" borderId="29" xfId="7" applyFont="1" applyFill="1" applyBorder="1" applyAlignment="1">
      <alignment horizontal="center" vertical="top" wrapText="1"/>
    </xf>
    <xf numFmtId="0" fontId="31" fillId="2" borderId="18" xfId="7" applyFont="1" applyFill="1" applyBorder="1" applyAlignment="1">
      <alignment vertical="top" wrapText="1"/>
    </xf>
    <xf numFmtId="0" fontId="31" fillId="2" borderId="30" xfId="7" applyFont="1" applyFill="1" applyBorder="1" applyAlignment="1">
      <alignment horizontal="center" vertical="top" wrapText="1"/>
    </xf>
    <xf numFmtId="41" fontId="31" fillId="2" borderId="18" xfId="2" applyFont="1" applyFill="1" applyBorder="1" applyAlignment="1">
      <alignment vertical="top" wrapText="1"/>
    </xf>
    <xf numFmtId="14" fontId="31" fillId="2" borderId="18" xfId="1" applyNumberFormat="1" applyFont="1" applyFill="1" applyBorder="1" applyAlignment="1">
      <alignment horizontal="center" vertical="top" wrapText="1"/>
    </xf>
    <xf numFmtId="191" fontId="31" fillId="2" borderId="30" xfId="7" applyNumberFormat="1" applyFont="1" applyFill="1" applyBorder="1" applyAlignment="1" applyProtection="1">
      <alignment vertical="top" wrapText="1"/>
      <protection locked="0"/>
    </xf>
    <xf numFmtId="191" fontId="31" fillId="2" borderId="30" xfId="7" applyNumberFormat="1" applyFont="1" applyFill="1" applyBorder="1" applyAlignment="1" applyProtection="1">
      <alignment horizontal="center" vertical="top" wrapText="1"/>
      <protection locked="0"/>
    </xf>
    <xf numFmtId="41" fontId="31" fillId="2" borderId="30" xfId="2" applyFont="1" applyFill="1" applyBorder="1" applyAlignment="1">
      <alignment vertical="top" wrapText="1"/>
    </xf>
    <xf numFmtId="195" fontId="31" fillId="0" borderId="30" xfId="2" applyNumberFormat="1" applyFont="1" applyFill="1" applyBorder="1" applyAlignment="1">
      <alignment horizontal="right" vertical="top" wrapText="1"/>
    </xf>
    <xf numFmtId="177" fontId="37" fillId="0" borderId="18" xfId="7" applyNumberFormat="1" applyFont="1" applyBorder="1" applyAlignment="1">
      <alignment vertical="top" wrapText="1"/>
    </xf>
    <xf numFmtId="177" fontId="37" fillId="0" borderId="33" xfId="7" applyNumberFormat="1" applyFont="1" applyBorder="1" applyAlignment="1">
      <alignment vertical="center" wrapText="1"/>
    </xf>
    <xf numFmtId="0" fontId="31" fillId="2" borderId="31" xfId="7" applyFont="1" applyFill="1" applyBorder="1" applyAlignment="1">
      <alignment horizontal="center" vertical="top" wrapText="1"/>
    </xf>
    <xf numFmtId="195" fontId="31" fillId="8" borderId="18" xfId="2" applyNumberFormat="1" applyFont="1" applyFill="1" applyBorder="1" applyAlignment="1">
      <alignment vertical="center" wrapText="1"/>
    </xf>
    <xf numFmtId="178" fontId="31" fillId="8" borderId="18" xfId="1" applyNumberFormat="1" applyFont="1" applyFill="1" applyBorder="1" applyAlignment="1">
      <alignment vertical="center" wrapText="1"/>
    </xf>
    <xf numFmtId="177" fontId="37" fillId="8" borderId="18" xfId="7" applyNumberFormat="1" applyFont="1" applyFill="1" applyBorder="1" applyAlignment="1">
      <alignment vertical="center" wrapText="1"/>
    </xf>
    <xf numFmtId="0" fontId="48" fillId="0" borderId="171" xfId="0" applyFont="1" applyBorder="1" applyAlignment="1">
      <alignment horizontal="center" vertical="center" wrapText="1"/>
    </xf>
    <xf numFmtId="9" fontId="51" fillId="0" borderId="80" xfId="1" applyFont="1" applyFill="1" applyBorder="1" applyAlignment="1">
      <alignment horizontal="center" vertical="center"/>
    </xf>
    <xf numFmtId="177" fontId="49" fillId="2" borderId="172" xfId="0" applyNumberFormat="1" applyFont="1" applyFill="1" applyBorder="1" applyAlignment="1">
      <alignment horizontal="center" vertical="center" wrapText="1"/>
    </xf>
    <xf numFmtId="0" fontId="49" fillId="5" borderId="173" xfId="0" applyFont="1" applyFill="1" applyBorder="1" applyAlignment="1">
      <alignment horizontal="center" vertical="center" wrapText="1"/>
    </xf>
    <xf numFmtId="0" fontId="48" fillId="0" borderId="174" xfId="0" applyFont="1" applyBorder="1" applyAlignment="1">
      <alignment horizontal="center" vertical="center" wrapText="1"/>
    </xf>
    <xf numFmtId="9" fontId="51" fillId="0" borderId="8" xfId="1" applyFont="1" applyFill="1" applyBorder="1" applyAlignment="1">
      <alignment horizontal="center" vertical="center"/>
    </xf>
    <xf numFmtId="177" fontId="49" fillId="2" borderId="175" xfId="0" applyNumberFormat="1" applyFont="1" applyFill="1" applyBorder="1" applyAlignment="1">
      <alignment horizontal="center" vertical="center" wrapText="1"/>
    </xf>
    <xf numFmtId="0" fontId="49" fillId="5" borderId="176" xfId="0" applyFont="1" applyFill="1" applyBorder="1" applyAlignment="1">
      <alignment horizontal="center" vertical="center" wrapText="1"/>
    </xf>
    <xf numFmtId="210" fontId="49" fillId="2" borderId="168" xfId="0" applyNumberFormat="1" applyFont="1" applyFill="1" applyBorder="1" applyAlignment="1">
      <alignment horizontal="center" vertical="center" wrapText="1"/>
    </xf>
    <xf numFmtId="0" fontId="31" fillId="2" borderId="31" xfId="7" applyFont="1" applyFill="1" applyBorder="1" applyAlignment="1">
      <alignment vertical="top" wrapText="1"/>
    </xf>
    <xf numFmtId="0" fontId="31" fillId="2" borderId="18" xfId="7" applyFont="1" applyFill="1" applyBorder="1" applyAlignment="1">
      <alignment horizontal="left" vertical="top" wrapText="1"/>
    </xf>
    <xf numFmtId="0" fontId="31" fillId="2" borderId="18" xfId="7" applyFont="1" applyFill="1" applyBorder="1" applyAlignment="1">
      <alignment horizontal="center" vertical="top" wrapText="1"/>
    </xf>
    <xf numFmtId="41" fontId="31" fillId="2" borderId="18" xfId="2" applyFont="1" applyFill="1" applyBorder="1" applyAlignment="1">
      <alignment horizontal="center" vertical="top" wrapText="1"/>
    </xf>
    <xf numFmtId="195" fontId="31" fillId="0" borderId="18" xfId="2" applyNumberFormat="1" applyFont="1" applyBorder="1" applyAlignment="1">
      <alignment horizontal="left" vertical="top" wrapText="1"/>
    </xf>
    <xf numFmtId="177" fontId="37" fillId="0" borderId="18" xfId="7" applyNumberFormat="1" applyFont="1" applyBorder="1" applyAlignment="1">
      <alignment horizontal="left" vertical="top" wrapText="1"/>
    </xf>
    <xf numFmtId="196" fontId="37" fillId="0" borderId="18" xfId="7" applyNumberFormat="1" applyFont="1" applyBorder="1" applyAlignment="1">
      <alignment horizontal="left" vertical="top" wrapText="1"/>
    </xf>
    <xf numFmtId="177" fontId="37" fillId="7" borderId="18" xfId="7" applyNumberFormat="1" applyFont="1" applyFill="1" applyBorder="1" applyAlignment="1">
      <alignment vertical="center" wrapText="1"/>
    </xf>
    <xf numFmtId="0" fontId="12" fillId="0" borderId="63" xfId="0" applyFont="1" applyBorder="1" applyAlignment="1">
      <alignment horizontal="center" vertical="center"/>
    </xf>
    <xf numFmtId="41" fontId="12" fillId="2" borderId="178" xfId="2" applyFont="1" applyFill="1" applyBorder="1">
      <alignment vertical="center"/>
    </xf>
    <xf numFmtId="41" fontId="12" fillId="2" borderId="179" xfId="2" applyFont="1" applyFill="1" applyBorder="1">
      <alignment vertical="center"/>
    </xf>
    <xf numFmtId="0" fontId="12" fillId="0" borderId="129" xfId="0" applyFont="1" applyFill="1" applyBorder="1">
      <alignment vertical="center"/>
    </xf>
    <xf numFmtId="180" fontId="12" fillId="0" borderId="129" xfId="2" applyNumberFormat="1" applyFont="1" applyFill="1" applyBorder="1">
      <alignment vertical="center"/>
    </xf>
    <xf numFmtId="9" fontId="12" fillId="0" borderId="63" xfId="1" applyFont="1" applyFill="1" applyBorder="1" applyAlignment="1">
      <alignment horizontal="center" vertical="center"/>
    </xf>
    <xf numFmtId="179" fontId="12" fillId="0" borderId="148" xfId="0" applyNumberFormat="1" applyFont="1" applyFill="1" applyBorder="1">
      <alignment vertical="center"/>
    </xf>
    <xf numFmtId="0" fontId="48" fillId="2" borderId="180" xfId="0" applyFont="1" applyFill="1" applyBorder="1" applyAlignment="1">
      <alignment horizontal="center" vertical="center" wrapText="1"/>
    </xf>
    <xf numFmtId="0" fontId="48" fillId="2" borderId="181" xfId="0" applyFont="1" applyFill="1" applyBorder="1" applyAlignment="1">
      <alignment horizontal="center" vertical="center" wrapText="1"/>
    </xf>
    <xf numFmtId="180" fontId="12" fillId="0" borderId="182" xfId="0" applyNumberFormat="1" applyFont="1" applyFill="1" applyBorder="1">
      <alignment vertical="center"/>
    </xf>
    <xf numFmtId="10" fontId="12" fillId="2" borderId="21" xfId="1" applyNumberFormat="1" applyFont="1" applyFill="1" applyBorder="1" applyAlignment="1">
      <alignment horizontal="center" vertical="center"/>
    </xf>
    <xf numFmtId="10" fontId="12" fillId="2" borderId="20" xfId="1" applyNumberFormat="1" applyFont="1" applyFill="1" applyBorder="1" applyAlignment="1">
      <alignment horizontal="center" vertical="center"/>
    </xf>
    <xf numFmtId="10" fontId="12" fillId="2" borderId="183" xfId="1" applyNumberFormat="1" applyFont="1" applyFill="1" applyBorder="1" applyAlignment="1">
      <alignment horizontal="center" vertical="center"/>
    </xf>
    <xf numFmtId="0" fontId="12" fillId="0" borderId="63" xfId="0" applyFont="1" applyBorder="1" applyAlignment="1">
      <alignment horizontal="center" vertical="center" shrinkToFit="1"/>
    </xf>
    <xf numFmtId="41" fontId="12" fillId="2" borderId="184" xfId="2" applyNumberFormat="1" applyFont="1" applyFill="1" applyBorder="1">
      <alignment vertical="center"/>
    </xf>
    <xf numFmtId="41" fontId="12" fillId="2" borderId="185" xfId="2" applyNumberFormat="1" applyFont="1" applyFill="1" applyBorder="1">
      <alignment vertical="center"/>
    </xf>
    <xf numFmtId="41" fontId="12" fillId="2" borderId="18" xfId="2" applyNumberFormat="1" applyFont="1" applyFill="1" applyBorder="1">
      <alignment vertical="center"/>
    </xf>
    <xf numFmtId="41" fontId="12" fillId="2" borderId="126" xfId="2" applyNumberFormat="1" applyFont="1" applyFill="1" applyBorder="1">
      <alignment vertical="center"/>
    </xf>
    <xf numFmtId="41" fontId="12" fillId="2" borderId="90" xfId="2" applyNumberFormat="1" applyFont="1" applyFill="1" applyBorder="1">
      <alignment vertical="center"/>
    </xf>
    <xf numFmtId="14" fontId="2" fillId="0" borderId="0" xfId="2" applyNumberFormat="1" applyFont="1" applyFill="1" applyBorder="1" applyAlignment="1"/>
    <xf numFmtId="0" fontId="31" fillId="0" borderId="31" xfId="7" applyFont="1" applyFill="1" applyBorder="1" applyAlignment="1">
      <alignment horizontal="center" vertical="top"/>
    </xf>
    <xf numFmtId="9" fontId="31" fillId="2" borderId="18" xfId="1" applyFont="1" applyFill="1" applyBorder="1" applyAlignment="1">
      <alignment horizontal="center" vertical="top"/>
    </xf>
    <xf numFmtId="191" fontId="31" fillId="2" borderId="18" xfId="7" applyNumberFormat="1" applyFont="1" applyFill="1" applyBorder="1" applyAlignment="1" applyProtection="1">
      <alignment vertical="top"/>
      <protection locked="0"/>
    </xf>
    <xf numFmtId="14" fontId="31" fillId="2" borderId="18" xfId="7" applyNumberFormat="1" applyFont="1" applyFill="1" applyBorder="1" applyAlignment="1" applyProtection="1">
      <alignment vertical="top"/>
      <protection locked="0"/>
    </xf>
    <xf numFmtId="199" fontId="31" fillId="2" borderId="18" xfId="2" applyNumberFormat="1" applyFont="1" applyFill="1" applyBorder="1" applyAlignment="1">
      <alignment horizontal="center" vertical="top"/>
    </xf>
    <xf numFmtId="198" fontId="31" fillId="0" borderId="33" xfId="2" applyNumberFormat="1" applyFont="1" applyBorder="1" applyAlignment="1">
      <alignment horizontal="right" vertical="top"/>
    </xf>
    <xf numFmtId="0" fontId="31" fillId="2" borderId="31" xfId="7" applyFont="1" applyFill="1" applyBorder="1" applyAlignment="1">
      <alignment horizontal="left" vertical="top" wrapText="1"/>
    </xf>
    <xf numFmtId="41" fontId="31" fillId="2" borderId="18" xfId="2" applyFont="1" applyFill="1" applyBorder="1" applyAlignment="1">
      <alignment horizontal="left" vertical="top" wrapText="1"/>
    </xf>
    <xf numFmtId="14" fontId="31" fillId="2" borderId="18" xfId="1" applyNumberFormat="1" applyFont="1" applyFill="1" applyBorder="1" applyAlignment="1">
      <alignment horizontal="left" vertical="top" wrapText="1"/>
    </xf>
    <xf numFmtId="191" fontId="31" fillId="2" borderId="18" xfId="7" applyNumberFormat="1" applyFont="1" applyFill="1" applyBorder="1" applyAlignment="1" applyProtection="1">
      <alignment horizontal="left" vertical="top" wrapText="1"/>
      <protection locked="0"/>
    </xf>
    <xf numFmtId="195" fontId="31" fillId="0" borderId="18" xfId="2" applyNumberFormat="1" applyFont="1" applyFill="1" applyBorder="1" applyAlignment="1">
      <alignment horizontal="left" vertical="top" wrapText="1"/>
    </xf>
    <xf numFmtId="195" fontId="31" fillId="0" borderId="30" xfId="2" applyNumberFormat="1" applyFont="1" applyFill="1" applyBorder="1" applyAlignment="1">
      <alignment horizontal="left" vertical="top" wrapText="1"/>
    </xf>
    <xf numFmtId="14" fontId="31" fillId="2" borderId="18" xfId="7" applyNumberFormat="1" applyFont="1" applyFill="1" applyBorder="1" applyAlignment="1" applyProtection="1">
      <alignment vertical="center" wrapText="1"/>
      <protection locked="0"/>
    </xf>
    <xf numFmtId="0" fontId="21" fillId="2" borderId="94" xfId="0" applyFont="1" applyFill="1" applyBorder="1" applyAlignment="1">
      <alignment horizontal="center" vertical="center" wrapText="1"/>
    </xf>
    <xf numFmtId="211" fontId="35" fillId="5" borderId="18" xfId="0" applyNumberFormat="1" applyFont="1" applyFill="1" applyBorder="1" applyAlignment="1">
      <alignment horizontal="center" vertical="center" wrapText="1"/>
    </xf>
    <xf numFmtId="14" fontId="15" fillId="2" borderId="18" xfId="0" applyNumberFormat="1" applyFont="1" applyFill="1" applyBorder="1" applyAlignment="1">
      <alignment horizontal="center" vertical="center" wrapText="1"/>
    </xf>
    <xf numFmtId="180" fontId="11" fillId="0" borderId="150" xfId="2" applyNumberFormat="1" applyFont="1" applyFill="1" applyBorder="1" applyAlignment="1">
      <alignment horizontal="center" vertical="center"/>
    </xf>
    <xf numFmtId="180" fontId="11" fillId="0" borderId="186" xfId="2" applyNumberFormat="1" applyFont="1" applyFill="1" applyBorder="1" applyAlignment="1">
      <alignment horizontal="center" vertical="center"/>
    </xf>
    <xf numFmtId="180" fontId="11" fillId="0" borderId="187" xfId="2" applyNumberFormat="1" applyFont="1" applyFill="1" applyBorder="1" applyAlignment="1">
      <alignment horizontal="center" vertical="center"/>
    </xf>
    <xf numFmtId="9" fontId="31" fillId="2" borderId="18" xfId="7" applyNumberFormat="1" applyFont="1" applyFill="1" applyBorder="1" applyAlignment="1">
      <alignment horizontal="center" vertical="top"/>
    </xf>
    <xf numFmtId="41" fontId="31" fillId="2" borderId="18" xfId="7" applyNumberFormat="1" applyFont="1" applyFill="1" applyBorder="1" applyAlignment="1">
      <alignment horizontal="center" vertical="top"/>
    </xf>
    <xf numFmtId="0" fontId="31" fillId="0" borderId="160" xfId="7" applyFont="1" applyFill="1" applyBorder="1" applyAlignment="1">
      <alignment horizontal="center" vertical="top"/>
    </xf>
    <xf numFmtId="0" fontId="64" fillId="2" borderId="18" xfId="7" applyFont="1" applyFill="1" applyBorder="1" applyAlignment="1">
      <alignment horizontal="left" vertical="center" wrapText="1"/>
    </xf>
    <xf numFmtId="14" fontId="31" fillId="2" borderId="18" xfId="0" applyNumberFormat="1" applyFont="1" applyFill="1" applyBorder="1" applyAlignment="1">
      <alignment horizontal="right" vertical="center"/>
    </xf>
    <xf numFmtId="200" fontId="12" fillId="0" borderId="18" xfId="2" applyNumberFormat="1" applyFont="1" applyFill="1" applyBorder="1">
      <alignment vertical="center"/>
    </xf>
    <xf numFmtId="200" fontId="12" fillId="0" borderId="188" xfId="2" applyNumberFormat="1" applyFont="1" applyFill="1" applyBorder="1">
      <alignment vertical="center"/>
    </xf>
    <xf numFmtId="190" fontId="12" fillId="0" borderId="189" xfId="2" applyNumberFormat="1" applyFont="1" applyFill="1" applyBorder="1">
      <alignment vertical="center"/>
    </xf>
    <xf numFmtId="177" fontId="12" fillId="0" borderId="56" xfId="0" applyNumberFormat="1" applyFont="1" applyFill="1" applyBorder="1" applyAlignment="1">
      <alignment vertical="center"/>
    </xf>
    <xf numFmtId="177" fontId="12" fillId="0" borderId="18" xfId="0" applyNumberFormat="1" applyFont="1" applyFill="1" applyBorder="1" applyAlignment="1">
      <alignment vertical="center"/>
    </xf>
    <xf numFmtId="190" fontId="12" fillId="0" borderId="190" xfId="2" applyNumberFormat="1" applyFont="1" applyFill="1" applyBorder="1">
      <alignment vertical="center"/>
    </xf>
    <xf numFmtId="190" fontId="12" fillId="0" borderId="191" xfId="2" applyNumberFormat="1" applyFont="1" applyFill="1" applyBorder="1">
      <alignment vertical="center"/>
    </xf>
    <xf numFmtId="190" fontId="12" fillId="0" borderId="192" xfId="2" applyNumberFormat="1" applyFont="1" applyFill="1" applyBorder="1">
      <alignment vertical="center"/>
    </xf>
    <xf numFmtId="190" fontId="12" fillId="0" borderId="193" xfId="2" applyNumberFormat="1" applyFont="1" applyFill="1" applyBorder="1">
      <alignment vertical="center"/>
    </xf>
    <xf numFmtId="190" fontId="12" fillId="0" borderId="194" xfId="2" applyNumberFormat="1" applyFont="1" applyFill="1" applyBorder="1">
      <alignment vertical="center"/>
    </xf>
    <xf numFmtId="188" fontId="12" fillId="0" borderId="195" xfId="0" applyNumberFormat="1" applyFont="1" applyBorder="1" applyAlignment="1">
      <alignment vertical="center"/>
    </xf>
    <xf numFmtId="190" fontId="12" fillId="0" borderId="196" xfId="2" applyNumberFormat="1" applyFont="1" applyFill="1" applyBorder="1">
      <alignment vertical="center"/>
    </xf>
    <xf numFmtId="190" fontId="12" fillId="0" borderId="197" xfId="2" applyNumberFormat="1" applyFont="1" applyFill="1" applyBorder="1">
      <alignment vertical="center"/>
    </xf>
    <xf numFmtId="188" fontId="12" fillId="0" borderId="198" xfId="0" applyNumberFormat="1" applyFont="1" applyBorder="1" applyAlignment="1">
      <alignment vertical="center"/>
    </xf>
    <xf numFmtId="190" fontId="12" fillId="0" borderId="199" xfId="2" applyNumberFormat="1" applyFont="1" applyFill="1" applyBorder="1">
      <alignment vertical="center"/>
    </xf>
    <xf numFmtId="190" fontId="12" fillId="0" borderId="200" xfId="2" applyNumberFormat="1" applyFont="1" applyFill="1" applyBorder="1">
      <alignment vertical="center"/>
    </xf>
    <xf numFmtId="188" fontId="12" fillId="0" borderId="201" xfId="0" applyNumberFormat="1" applyFont="1" applyBorder="1" applyAlignment="1">
      <alignment vertical="center"/>
    </xf>
    <xf numFmtId="9" fontId="12" fillId="0" borderId="18" xfId="1" applyFont="1" applyFill="1" applyBorder="1" applyAlignment="1">
      <alignment horizontal="center" vertical="center"/>
    </xf>
    <xf numFmtId="180" fontId="12" fillId="0" borderId="202" xfId="2" applyNumberFormat="1" applyFont="1" applyFill="1" applyBorder="1">
      <alignment vertical="center"/>
    </xf>
    <xf numFmtId="193" fontId="12" fillId="0" borderId="202" xfId="2" applyNumberFormat="1" applyFont="1" applyFill="1" applyBorder="1">
      <alignment vertical="center"/>
    </xf>
    <xf numFmtId="0" fontId="12" fillId="0" borderId="203" xfId="0" applyFont="1" applyBorder="1" applyAlignment="1">
      <alignment horizontal="center" vertical="center"/>
    </xf>
    <xf numFmtId="180" fontId="12" fillId="0" borderId="203" xfId="2" applyNumberFormat="1" applyFont="1" applyFill="1" applyBorder="1">
      <alignment vertical="center"/>
    </xf>
    <xf numFmtId="9" fontId="12" fillId="0" borderId="204" xfId="1" applyFont="1" applyFill="1" applyBorder="1" applyAlignment="1">
      <alignment horizontal="center" vertical="center"/>
    </xf>
    <xf numFmtId="195" fontId="12" fillId="0" borderId="63" xfId="2" applyNumberFormat="1" applyFont="1" applyFill="1" applyBorder="1">
      <alignment vertical="center"/>
    </xf>
    <xf numFmtId="41" fontId="12" fillId="0" borderId="37" xfId="2" applyNumberFormat="1" applyFont="1" applyFill="1" applyBorder="1">
      <alignment vertical="center"/>
    </xf>
    <xf numFmtId="0" fontId="31" fillId="0" borderId="33" xfId="7" applyFont="1" applyBorder="1" applyAlignment="1">
      <alignment vertical="center" wrapText="1"/>
    </xf>
    <xf numFmtId="0" fontId="31" fillId="0" borderId="34" xfId="7" applyFont="1" applyBorder="1" applyAlignment="1">
      <alignment vertical="center" wrapText="1"/>
    </xf>
    <xf numFmtId="191" fontId="31" fillId="2" borderId="18" xfId="7" applyNumberFormat="1" applyFont="1" applyFill="1" applyBorder="1" applyAlignment="1" applyProtection="1">
      <alignment vertical="top" wrapText="1"/>
      <protection locked="0"/>
    </xf>
    <xf numFmtId="178" fontId="31" fillId="0" borderId="18" xfId="1" applyNumberFormat="1" applyFont="1" applyFill="1" applyBorder="1" applyAlignment="1">
      <alignment vertical="top" wrapText="1"/>
    </xf>
    <xf numFmtId="177" fontId="37" fillId="0" borderId="205" xfId="7" applyNumberFormat="1" applyFont="1" applyBorder="1" applyAlignment="1">
      <alignment vertical="center" wrapText="1"/>
    </xf>
    <xf numFmtId="0" fontId="31" fillId="0" borderId="206" xfId="7" applyFont="1" applyFill="1" applyBorder="1" applyAlignment="1">
      <alignment vertical="center" wrapText="1"/>
    </xf>
    <xf numFmtId="177" fontId="39" fillId="5" borderId="30" xfId="7" applyNumberFormat="1" applyFont="1" applyFill="1" applyBorder="1" applyAlignment="1">
      <alignment vertical="center" wrapText="1"/>
    </xf>
    <xf numFmtId="0" fontId="0" fillId="2" borderId="18" xfId="0" quotePrefix="1" applyFill="1" applyBorder="1">
      <alignment vertical="center"/>
    </xf>
    <xf numFmtId="0" fontId="0" fillId="2" borderId="18" xfId="0" quotePrefix="1" applyFill="1" applyBorder="1" applyAlignment="1">
      <alignment vertical="center" wrapText="1"/>
    </xf>
    <xf numFmtId="212" fontId="0" fillId="2" borderId="18" xfId="0" quotePrefix="1" applyNumberFormat="1" applyFill="1" applyBorder="1">
      <alignment vertical="center"/>
    </xf>
    <xf numFmtId="0" fontId="0" fillId="2" borderId="18" xfId="0" quotePrefix="1" applyFill="1" applyBorder="1" applyAlignment="1">
      <alignment vertical="center" wrapText="1" shrinkToFit="1"/>
    </xf>
    <xf numFmtId="0" fontId="31" fillId="2" borderId="18" xfId="0" quotePrefix="1" applyFont="1" applyFill="1" applyBorder="1" applyAlignment="1">
      <alignment vertical="top"/>
    </xf>
    <xf numFmtId="3" fontId="65" fillId="2" borderId="18" xfId="0" applyNumberFormat="1" applyFont="1" applyFill="1" applyBorder="1" applyAlignment="1">
      <alignment vertical="top" wrapText="1"/>
    </xf>
    <xf numFmtId="0" fontId="31" fillId="2" borderId="18" xfId="0" quotePrefix="1" applyFont="1" applyFill="1" applyBorder="1" applyAlignment="1">
      <alignment vertical="top" wrapText="1"/>
    </xf>
    <xf numFmtId="213" fontId="0" fillId="2" borderId="18" xfId="0" quotePrefix="1" applyNumberFormat="1" applyFill="1" applyBorder="1" applyAlignment="1">
      <alignment vertical="center" wrapText="1"/>
    </xf>
    <xf numFmtId="213" fontId="31" fillId="2" borderId="18" xfId="7" applyNumberFormat="1" applyFont="1" applyFill="1" applyBorder="1" applyAlignment="1">
      <alignment vertical="center" wrapText="1" shrinkToFit="1"/>
    </xf>
    <xf numFmtId="213" fontId="0" fillId="2" borderId="18" xfId="0" quotePrefix="1" applyNumberFormat="1" applyFill="1" applyBorder="1">
      <alignment vertical="center"/>
    </xf>
    <xf numFmtId="213" fontId="31" fillId="2" borderId="18" xfId="7" applyNumberFormat="1" applyFont="1" applyFill="1" applyBorder="1" applyAlignment="1" applyProtection="1">
      <alignment vertical="center" wrapText="1"/>
      <protection locked="0"/>
    </xf>
    <xf numFmtId="213" fontId="31" fillId="2" borderId="18" xfId="7" applyNumberFormat="1" applyFont="1" applyFill="1" applyBorder="1" applyAlignment="1" applyProtection="1">
      <alignment horizontal="center" vertical="center" wrapText="1"/>
      <protection locked="0"/>
    </xf>
    <xf numFmtId="214" fontId="0" fillId="2" borderId="18" xfId="0" quotePrefix="1" applyNumberFormat="1" applyFill="1" applyBorder="1">
      <alignment vertical="center"/>
    </xf>
    <xf numFmtId="214" fontId="31" fillId="2" borderId="18" xfId="2" applyNumberFormat="1" applyFont="1" applyFill="1" applyBorder="1" applyAlignment="1">
      <alignment vertical="center" wrapText="1"/>
    </xf>
    <xf numFmtId="213" fontId="31" fillId="8" borderId="18" xfId="2" applyNumberFormat="1" applyFont="1" applyFill="1" applyBorder="1" applyAlignment="1">
      <alignment vertical="center" wrapText="1"/>
    </xf>
    <xf numFmtId="213" fontId="31" fillId="8" borderId="18" xfId="1" applyNumberFormat="1" applyFont="1" applyFill="1" applyBorder="1" applyAlignment="1">
      <alignment vertical="center" wrapText="1"/>
    </xf>
    <xf numFmtId="177" fontId="37" fillId="0" borderId="138" xfId="7" applyNumberFormat="1" applyFont="1" applyBorder="1" applyAlignment="1">
      <alignment horizontal="center" vertical="center" wrapText="1"/>
    </xf>
    <xf numFmtId="177" fontId="37" fillId="0" borderId="101" xfId="7" applyNumberFormat="1" applyFont="1" applyBorder="1" applyAlignment="1">
      <alignment horizontal="center" vertical="center" wrapText="1"/>
    </xf>
    <xf numFmtId="0" fontId="31" fillId="0" borderId="31" xfId="7" applyFont="1" applyFill="1" applyBorder="1" applyAlignment="1">
      <alignment horizontal="center" vertical="center"/>
    </xf>
    <xf numFmtId="182" fontId="67" fillId="3" borderId="3" xfId="2" applyNumberFormat="1" applyFont="1" applyFill="1" applyBorder="1" applyAlignment="1">
      <alignment horizontal="center" vertical="center" wrapText="1"/>
    </xf>
    <xf numFmtId="183" fontId="67" fillId="3" borderId="4" xfId="2" applyNumberFormat="1" applyFont="1" applyFill="1" applyBorder="1" applyAlignment="1">
      <alignment horizontal="center" vertical="center" wrapText="1"/>
    </xf>
    <xf numFmtId="185" fontId="67" fillId="3" borderId="3" xfId="2" applyNumberFormat="1" applyFont="1" applyFill="1" applyBorder="1" applyAlignment="1">
      <alignment horizontal="center" vertical="center" wrapText="1"/>
    </xf>
    <xf numFmtId="202" fontId="68" fillId="0" borderId="64" xfId="0" applyNumberFormat="1" applyFont="1" applyBorder="1" applyAlignment="1">
      <alignment horizontal="center" vertical="center"/>
    </xf>
    <xf numFmtId="201" fontId="68" fillId="0" borderId="102" xfId="0" applyNumberFormat="1" applyFont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 shrinkToFit="1"/>
    </xf>
    <xf numFmtId="180" fontId="12" fillId="0" borderId="251" xfId="0" applyNumberFormat="1" applyFont="1" applyFill="1" applyBorder="1">
      <alignment vertical="center"/>
    </xf>
    <xf numFmtId="180" fontId="12" fillId="0" borderId="250" xfId="0" applyNumberFormat="1" applyFont="1" applyFill="1" applyBorder="1">
      <alignment vertical="center"/>
    </xf>
    <xf numFmtId="192" fontId="12" fillId="0" borderId="91" xfId="1" applyNumberFormat="1" applyFont="1" applyFill="1" applyBorder="1" applyAlignment="1">
      <alignment horizontal="center" vertical="center"/>
    </xf>
    <xf numFmtId="192" fontId="12" fillId="0" borderId="82" xfId="1" applyNumberFormat="1" applyFont="1" applyFill="1" applyBorder="1" applyAlignment="1">
      <alignment horizontal="center" vertical="center"/>
    </xf>
    <xf numFmtId="192" fontId="12" fillId="0" borderId="93" xfId="1" applyNumberFormat="1" applyFont="1" applyFill="1" applyBorder="1" applyAlignment="1">
      <alignment horizontal="center" vertical="center"/>
    </xf>
    <xf numFmtId="192" fontId="12" fillId="0" borderId="94" xfId="1" applyNumberFormat="1" applyFont="1" applyFill="1" applyBorder="1" applyAlignment="1">
      <alignment horizontal="center" vertical="center"/>
    </xf>
    <xf numFmtId="9" fontId="12" fillId="0" borderId="94" xfId="1" applyFont="1" applyFill="1" applyBorder="1" applyAlignment="1">
      <alignment horizontal="center" vertical="center"/>
    </xf>
    <xf numFmtId="192" fontId="12" fillId="0" borderId="95" xfId="1" applyNumberFormat="1" applyFont="1" applyFill="1" applyBorder="1" applyAlignment="1">
      <alignment horizontal="center" vertical="center"/>
    </xf>
    <xf numFmtId="192" fontId="12" fillId="0" borderId="71" xfId="1" applyNumberFormat="1" applyFont="1" applyFill="1" applyBorder="1" applyAlignment="1">
      <alignment horizontal="center" vertical="center"/>
    </xf>
    <xf numFmtId="192" fontId="12" fillId="0" borderId="97" xfId="1" applyNumberFormat="1" applyFont="1" applyFill="1" applyBorder="1" applyAlignment="1">
      <alignment horizontal="center" vertical="center"/>
    </xf>
    <xf numFmtId="192" fontId="12" fillId="0" borderId="30" xfId="1" applyNumberFormat="1" applyFont="1" applyFill="1" applyBorder="1" applyAlignment="1">
      <alignment horizontal="center" vertical="center"/>
    </xf>
    <xf numFmtId="9" fontId="12" fillId="0" borderId="203" xfId="1" applyFont="1" applyFill="1" applyBorder="1" applyAlignment="1">
      <alignment horizontal="center" vertical="center"/>
    </xf>
    <xf numFmtId="192" fontId="12" fillId="0" borderId="252" xfId="1" applyNumberFormat="1" applyFont="1" applyFill="1" applyBorder="1" applyAlignment="1">
      <alignment horizontal="center" vertical="center"/>
    </xf>
    <xf numFmtId="192" fontId="12" fillId="0" borderId="3" xfId="1" applyNumberFormat="1" applyFont="1" applyFill="1" applyBorder="1" applyAlignment="1">
      <alignment horizontal="center" vertical="center"/>
    </xf>
    <xf numFmtId="192" fontId="12" fillId="0" borderId="4" xfId="1" applyNumberFormat="1" applyFont="1" applyFill="1" applyBorder="1" applyAlignment="1">
      <alignment horizontal="center" vertical="center"/>
    </xf>
    <xf numFmtId="192" fontId="12" fillId="0" borderId="36" xfId="1" applyNumberFormat="1" applyFont="1" applyFill="1" applyBorder="1" applyAlignment="1">
      <alignment horizontal="center" vertical="center"/>
    </xf>
    <xf numFmtId="9" fontId="12" fillId="0" borderId="36" xfId="1" applyFont="1" applyFill="1" applyBorder="1" applyAlignment="1">
      <alignment horizontal="center" vertical="center"/>
    </xf>
    <xf numFmtId="180" fontId="10" fillId="0" borderId="18" xfId="2" applyNumberFormat="1" applyFont="1" applyFill="1" applyBorder="1" applyAlignment="1">
      <alignment horizontal="center" vertical="center"/>
    </xf>
    <xf numFmtId="0" fontId="69" fillId="0" borderId="0" xfId="0" applyFont="1" applyFill="1">
      <alignment vertical="center"/>
    </xf>
    <xf numFmtId="0" fontId="69" fillId="0" borderId="0" xfId="0" applyFont="1" applyFill="1" applyAlignment="1">
      <alignment horizontal="center" vertical="center"/>
    </xf>
    <xf numFmtId="0" fontId="12" fillId="0" borderId="35" xfId="0" applyFont="1" applyBorder="1" applyAlignment="1">
      <alignment horizontal="center" vertical="center" wrapText="1"/>
    </xf>
    <xf numFmtId="9" fontId="12" fillId="0" borderId="80" xfId="1" applyFont="1" applyFill="1" applyBorder="1" applyAlignment="1">
      <alignment horizontal="center" vertical="center"/>
    </xf>
    <xf numFmtId="176" fontId="12" fillId="2" borderId="35" xfId="1" applyNumberFormat="1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 wrapText="1"/>
    </xf>
    <xf numFmtId="9" fontId="12" fillId="0" borderId="8" xfId="1" applyFont="1" applyFill="1" applyBorder="1" applyAlignment="1">
      <alignment horizontal="center" vertical="center"/>
    </xf>
    <xf numFmtId="176" fontId="12" fillId="2" borderId="36" xfId="1" applyNumberFormat="1" applyFont="1" applyFill="1" applyBorder="1" applyAlignment="1">
      <alignment horizontal="center" vertical="center"/>
    </xf>
    <xf numFmtId="0" fontId="12" fillId="0" borderId="37" xfId="0" applyFont="1" applyBorder="1" applyAlignment="1">
      <alignment horizontal="center" vertical="center" wrapText="1"/>
    </xf>
    <xf numFmtId="9" fontId="12" fillId="0" borderId="253" xfId="1" applyFont="1" applyFill="1" applyBorder="1" applyAlignment="1">
      <alignment horizontal="center" vertical="center"/>
    </xf>
    <xf numFmtId="176" fontId="12" fillId="2" borderId="37" xfId="1" applyNumberFormat="1" applyFont="1" applyFill="1" applyBorder="1" applyAlignment="1">
      <alignment horizontal="center" vertical="center"/>
    </xf>
    <xf numFmtId="0" fontId="70" fillId="0" borderId="0" xfId="0" applyFont="1" applyFill="1">
      <alignment vertical="center"/>
    </xf>
    <xf numFmtId="178" fontId="31" fillId="8" borderId="18" xfId="1" applyNumberFormat="1" applyFont="1" applyFill="1" applyBorder="1" applyAlignment="1">
      <alignment vertical="top" wrapText="1"/>
    </xf>
    <xf numFmtId="49" fontId="30" fillId="0" borderId="0" xfId="0" applyNumberFormat="1" applyFont="1" applyAlignment="1">
      <alignment horizontal="left" vertical="center" wrapText="1"/>
    </xf>
    <xf numFmtId="49" fontId="30" fillId="0" borderId="0" xfId="0" applyNumberFormat="1" applyFont="1" applyAlignment="1">
      <alignment vertical="center" wrapText="1"/>
    </xf>
    <xf numFmtId="0" fontId="15" fillId="0" borderId="0" xfId="0" applyFont="1" applyBorder="1" applyAlignment="1">
      <alignment horizontal="left" vertical="center" wrapText="1"/>
    </xf>
    <xf numFmtId="0" fontId="9" fillId="2" borderId="214" xfId="0" applyFont="1" applyFill="1" applyBorder="1" applyAlignment="1">
      <alignment horizontal="center" vertical="center" wrapText="1"/>
    </xf>
    <xf numFmtId="0" fontId="9" fillId="2" borderId="215" xfId="0" applyFont="1" applyFill="1" applyBorder="1" applyAlignment="1">
      <alignment horizontal="center" vertical="center" wrapText="1"/>
    </xf>
    <xf numFmtId="0" fontId="9" fillId="2" borderId="216" xfId="0" applyFont="1" applyFill="1" applyBorder="1" applyAlignment="1">
      <alignment horizontal="center" vertical="center" wrapText="1"/>
    </xf>
    <xf numFmtId="0" fontId="15" fillId="4" borderId="4" xfId="2" applyNumberFormat="1" applyFont="1" applyFill="1" applyBorder="1" applyAlignment="1">
      <alignment horizontal="left" vertical="center" wrapText="1"/>
    </xf>
    <xf numFmtId="0" fontId="15" fillId="4" borderId="8" xfId="2" applyNumberFormat="1" applyFont="1" applyFill="1" applyBorder="1" applyAlignment="1">
      <alignment horizontal="left" vertical="center" wrapText="1"/>
    </xf>
    <xf numFmtId="189" fontId="17" fillId="4" borderId="217" xfId="2" applyNumberFormat="1" applyFont="1" applyFill="1" applyBorder="1" applyAlignment="1">
      <alignment horizontal="center" vertical="center"/>
    </xf>
    <xf numFmtId="189" fontId="17" fillId="4" borderId="218" xfId="2" applyNumberFormat="1" applyFont="1" applyFill="1" applyBorder="1" applyAlignment="1">
      <alignment horizontal="center" vertical="center"/>
    </xf>
    <xf numFmtId="189" fontId="17" fillId="4" borderId="219" xfId="2" applyNumberFormat="1" applyFont="1" applyFill="1" applyBorder="1" applyAlignment="1">
      <alignment horizontal="center" vertical="center"/>
    </xf>
    <xf numFmtId="0" fontId="16" fillId="0" borderId="3" xfId="2" applyNumberFormat="1" applyFont="1" applyBorder="1" applyAlignment="1">
      <alignment horizontal="center" vertical="center" wrapText="1"/>
    </xf>
    <xf numFmtId="180" fontId="15" fillId="0" borderId="79" xfId="2" applyNumberFormat="1" applyFont="1" applyFill="1" applyBorder="1" applyAlignment="1">
      <alignment horizontal="center" vertical="center" wrapText="1"/>
    </xf>
    <xf numFmtId="180" fontId="15" fillId="0" borderId="2" xfId="2" applyNumberFormat="1" applyFont="1" applyFill="1" applyBorder="1" applyAlignment="1">
      <alignment horizontal="center" vertical="center" wrapText="1"/>
    </xf>
    <xf numFmtId="0" fontId="16" fillId="0" borderId="79" xfId="2" applyNumberFormat="1" applyFont="1" applyBorder="1" applyAlignment="1">
      <alignment horizontal="center" vertical="center" wrapText="1"/>
    </xf>
    <xf numFmtId="0" fontId="16" fillId="0" borderId="20" xfId="2" applyNumberFormat="1" applyFont="1" applyBorder="1" applyAlignment="1">
      <alignment horizontal="center" vertical="center" wrapText="1"/>
    </xf>
    <xf numFmtId="0" fontId="16" fillId="0" borderId="2" xfId="2" applyNumberFormat="1" applyFont="1" applyBorder="1" applyAlignment="1">
      <alignment horizontal="center" vertical="center" wrapText="1"/>
    </xf>
    <xf numFmtId="0" fontId="16" fillId="0" borderId="3" xfId="2" applyNumberFormat="1" applyFont="1" applyFill="1" applyBorder="1" applyAlignment="1">
      <alignment horizontal="center" vertical="center" wrapText="1"/>
    </xf>
    <xf numFmtId="0" fontId="16" fillId="0" borderId="79" xfId="2" applyNumberFormat="1" applyFont="1" applyFill="1" applyBorder="1" applyAlignment="1">
      <alignment horizontal="center" vertical="center" wrapText="1"/>
    </xf>
    <xf numFmtId="0" fontId="16" fillId="0" borderId="20" xfId="2" applyNumberFormat="1" applyFont="1" applyFill="1" applyBorder="1" applyAlignment="1">
      <alignment horizontal="center" vertical="center" wrapText="1"/>
    </xf>
    <xf numFmtId="0" fontId="16" fillId="0" borderId="2" xfId="2" applyNumberFormat="1" applyFont="1" applyFill="1" applyBorder="1" applyAlignment="1">
      <alignment horizontal="center" vertical="center" wrapText="1"/>
    </xf>
    <xf numFmtId="180" fontId="15" fillId="0" borderId="79" xfId="2" applyNumberFormat="1" applyFont="1" applyBorder="1" applyAlignment="1">
      <alignment horizontal="center" vertical="center" wrapText="1"/>
    </xf>
    <xf numFmtId="180" fontId="15" fillId="0" borderId="2" xfId="2" applyNumberFormat="1" applyFont="1" applyBorder="1" applyAlignment="1">
      <alignment horizontal="center" vertical="center" wrapText="1"/>
    </xf>
    <xf numFmtId="180" fontId="14" fillId="0" borderId="59" xfId="2" applyNumberFormat="1" applyFont="1" applyBorder="1" applyAlignment="1">
      <alignment horizontal="left" vertical="center" wrapText="1"/>
    </xf>
    <xf numFmtId="180" fontId="14" fillId="0" borderId="0" xfId="2" applyNumberFormat="1" applyFont="1" applyBorder="1" applyAlignment="1">
      <alignment horizontal="left" vertical="center" wrapText="1"/>
    </xf>
    <xf numFmtId="180" fontId="15" fillId="0" borderId="212" xfId="2" applyNumberFormat="1" applyFont="1" applyBorder="1" applyAlignment="1">
      <alignment horizontal="center" vertical="center" wrapText="1"/>
    </xf>
    <xf numFmtId="180" fontId="15" fillId="0" borderId="66" xfId="2" applyNumberFormat="1" applyFont="1" applyBorder="1" applyAlignment="1">
      <alignment horizontal="center" vertical="center" wrapText="1"/>
    </xf>
    <xf numFmtId="180" fontId="15" fillId="0" borderId="158" xfId="2" applyNumberFormat="1" applyFont="1" applyBorder="1" applyAlignment="1">
      <alignment horizontal="center" vertical="center" wrapText="1"/>
    </xf>
    <xf numFmtId="180" fontId="15" fillId="0" borderId="0" xfId="2" applyNumberFormat="1" applyFont="1" applyBorder="1" applyAlignment="1">
      <alignment horizontal="right" vertical="center"/>
    </xf>
    <xf numFmtId="180" fontId="15" fillId="0" borderId="211" xfId="2" applyNumberFormat="1" applyFont="1" applyFill="1" applyBorder="1" applyAlignment="1">
      <alignment horizontal="center" vertical="center" wrapText="1"/>
    </xf>
    <xf numFmtId="180" fontId="15" fillId="0" borderId="22" xfId="2" applyNumberFormat="1" applyFont="1" applyFill="1" applyBorder="1" applyAlignment="1">
      <alignment horizontal="center" vertical="center" wrapText="1"/>
    </xf>
    <xf numFmtId="180" fontId="15" fillId="0" borderId="213" xfId="2" applyNumberFormat="1" applyFont="1" applyFill="1" applyBorder="1" applyAlignment="1">
      <alignment horizontal="center" vertical="center" wrapText="1"/>
    </xf>
    <xf numFmtId="180" fontId="15" fillId="0" borderId="3" xfId="2" applyNumberFormat="1" applyFont="1" applyFill="1" applyBorder="1" applyAlignment="1">
      <alignment horizontal="center" vertical="center" wrapText="1"/>
    </xf>
    <xf numFmtId="180" fontId="17" fillId="3" borderId="208" xfId="2" applyNumberFormat="1" applyFont="1" applyFill="1" applyBorder="1" applyAlignment="1">
      <alignment horizontal="center" vertical="center" wrapText="1"/>
    </xf>
    <xf numFmtId="180" fontId="17" fillId="3" borderId="19" xfId="2" applyNumberFormat="1" applyFont="1" applyFill="1" applyBorder="1" applyAlignment="1">
      <alignment horizontal="center" vertical="center" wrapText="1"/>
    </xf>
    <xf numFmtId="180" fontId="16" fillId="0" borderId="115" xfId="2" applyNumberFormat="1" applyFont="1" applyBorder="1" applyAlignment="1">
      <alignment horizontal="center" vertical="center" wrapText="1"/>
    </xf>
    <xf numFmtId="180" fontId="15" fillId="0" borderId="4" xfId="2" applyNumberFormat="1" applyFont="1" applyBorder="1" applyAlignment="1">
      <alignment horizontal="left" vertical="center" wrapText="1"/>
    </xf>
    <xf numFmtId="180" fontId="15" fillId="0" borderId="8" xfId="2" applyNumberFormat="1" applyFont="1" applyBorder="1" applyAlignment="1">
      <alignment horizontal="left" vertical="center" wrapText="1"/>
    </xf>
    <xf numFmtId="0" fontId="15" fillId="5" borderId="209" xfId="2" applyNumberFormat="1" applyFont="1" applyFill="1" applyBorder="1" applyAlignment="1">
      <alignment horizontal="center" vertical="center" wrapText="1"/>
    </xf>
    <xf numFmtId="0" fontId="15" fillId="5" borderId="210" xfId="2" applyNumberFormat="1" applyFont="1" applyFill="1" applyBorder="1" applyAlignment="1">
      <alignment horizontal="center" vertical="center" wrapText="1"/>
    </xf>
    <xf numFmtId="0" fontId="15" fillId="5" borderId="7" xfId="2" applyNumberFormat="1" applyFont="1" applyFill="1" applyBorder="1" applyAlignment="1">
      <alignment horizontal="center" vertical="center" wrapText="1"/>
    </xf>
    <xf numFmtId="0" fontId="15" fillId="5" borderId="207" xfId="2" applyNumberFormat="1" applyFont="1" applyFill="1" applyBorder="1" applyAlignment="1">
      <alignment horizontal="center" vertical="center" wrapText="1"/>
    </xf>
    <xf numFmtId="180" fontId="15" fillId="0" borderId="3" xfId="2" applyNumberFormat="1" applyFont="1" applyBorder="1" applyAlignment="1">
      <alignment horizontal="center" vertical="center" wrapText="1"/>
    </xf>
    <xf numFmtId="180" fontId="16" fillId="0" borderId="81" xfId="2" applyNumberFormat="1" applyFont="1" applyBorder="1" applyAlignment="1">
      <alignment horizontal="center" vertical="center" wrapText="1"/>
    </xf>
    <xf numFmtId="180" fontId="16" fillId="0" borderId="3" xfId="2" applyNumberFormat="1" applyFont="1" applyBorder="1" applyAlignment="1">
      <alignment horizontal="center" vertical="center" wrapText="1"/>
    </xf>
    <xf numFmtId="180" fontId="15" fillId="0" borderId="162" xfId="2" applyNumberFormat="1" applyFont="1" applyBorder="1" applyAlignment="1">
      <alignment horizontal="center" vertical="center" wrapText="1"/>
    </xf>
    <xf numFmtId="180" fontId="15" fillId="0" borderId="213" xfId="2" applyNumberFormat="1" applyFont="1" applyBorder="1" applyAlignment="1">
      <alignment horizontal="center" vertical="center" wrapText="1"/>
    </xf>
    <xf numFmtId="180" fontId="15" fillId="0" borderId="20" xfId="2" applyNumberFormat="1" applyFont="1" applyBorder="1" applyAlignment="1">
      <alignment horizontal="center" vertical="center" wrapText="1"/>
    </xf>
    <xf numFmtId="180" fontId="15" fillId="0" borderId="22" xfId="2" applyNumberFormat="1" applyFont="1" applyBorder="1" applyAlignment="1">
      <alignment horizontal="center" vertical="center" wrapText="1"/>
    </xf>
    <xf numFmtId="180" fontId="15" fillId="0" borderId="162" xfId="2" applyNumberFormat="1" applyFont="1" applyFill="1" applyBorder="1" applyAlignment="1">
      <alignment horizontal="center" vertical="center" wrapText="1"/>
    </xf>
    <xf numFmtId="0" fontId="12" fillId="4" borderId="94" xfId="0" applyFont="1" applyFill="1" applyBorder="1" applyAlignment="1">
      <alignment horizontal="center" vertical="center"/>
    </xf>
    <xf numFmtId="0" fontId="12" fillId="4" borderId="63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0" fontId="12" fillId="4" borderId="63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3" fontId="13" fillId="6" borderId="94" xfId="2" applyNumberFormat="1" applyFont="1" applyFill="1" applyBorder="1" applyAlignment="1">
      <alignment horizontal="center" vertical="center"/>
    </xf>
    <xf numFmtId="43" fontId="13" fillId="6" borderId="30" xfId="2" applyNumberFormat="1" applyFont="1" applyFill="1" applyBorder="1" applyAlignment="1">
      <alignment horizontal="center" vertical="center"/>
    </xf>
    <xf numFmtId="43" fontId="13" fillId="6" borderId="63" xfId="0" applyNumberFormat="1" applyFont="1" applyFill="1" applyBorder="1" applyAlignment="1">
      <alignment horizontal="center" vertical="center"/>
    </xf>
    <xf numFmtId="43" fontId="13" fillId="6" borderId="30" xfId="0" applyNumberFormat="1" applyFont="1" applyFill="1" applyBorder="1" applyAlignment="1">
      <alignment horizontal="center" vertical="center"/>
    </xf>
    <xf numFmtId="43" fontId="13" fillId="6" borderId="94" xfId="0" applyNumberFormat="1" applyFont="1" applyFill="1" applyBorder="1" applyAlignment="1">
      <alignment horizontal="center" vertical="center"/>
    </xf>
    <xf numFmtId="0" fontId="12" fillId="4" borderId="94" xfId="0" applyFont="1" applyFill="1" applyBorder="1" applyAlignment="1">
      <alignment horizontal="center" vertical="center" wrapText="1"/>
    </xf>
    <xf numFmtId="0" fontId="10" fillId="4" borderId="94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8" fillId="0" borderId="147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180" fontId="10" fillId="0" borderId="18" xfId="2" applyNumberFormat="1" applyFont="1" applyFill="1" applyBorder="1" applyAlignment="1">
      <alignment horizontal="center" vertical="center"/>
    </xf>
    <xf numFmtId="177" fontId="10" fillId="0" borderId="18" xfId="2" applyNumberFormat="1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0" fontId="20" fillId="0" borderId="88" xfId="0" applyFont="1" applyFill="1" applyBorder="1" applyAlignment="1">
      <alignment horizontal="center" vertical="center"/>
    </xf>
    <xf numFmtId="0" fontId="20" fillId="0" borderId="99" xfId="0" applyFont="1" applyFill="1" applyBorder="1" applyAlignment="1">
      <alignment horizontal="center" vertical="center"/>
    </xf>
    <xf numFmtId="0" fontId="20" fillId="0" borderId="94" xfId="0" applyFont="1" applyFill="1" applyBorder="1" applyAlignment="1">
      <alignment horizontal="left" vertical="center" wrapText="1"/>
    </xf>
    <xf numFmtId="0" fontId="20" fillId="0" borderId="63" xfId="0" applyFont="1" applyFill="1" applyBorder="1" applyAlignment="1">
      <alignment horizontal="left" vertical="center" wrapText="1"/>
    </xf>
    <xf numFmtId="0" fontId="10" fillId="0" borderId="27" xfId="0" applyFont="1" applyFill="1" applyBorder="1" applyAlignment="1">
      <alignment horizontal="center" vertical="center"/>
    </xf>
    <xf numFmtId="0" fontId="10" fillId="0" borderId="63" xfId="0" applyFont="1" applyFill="1" applyBorder="1" applyAlignment="1">
      <alignment horizontal="center" vertical="center"/>
    </xf>
    <xf numFmtId="0" fontId="20" fillId="0" borderId="225" xfId="0" applyFont="1" applyFill="1" applyBorder="1" applyAlignment="1">
      <alignment horizontal="center" vertical="center" wrapText="1"/>
    </xf>
    <xf numFmtId="0" fontId="20" fillId="0" borderId="224" xfId="0" applyFont="1" applyFill="1" applyBorder="1" applyAlignment="1">
      <alignment horizontal="center" vertical="center" wrapText="1"/>
    </xf>
    <xf numFmtId="0" fontId="20" fillId="0" borderId="30" xfId="0" applyFont="1" applyFill="1" applyBorder="1" applyAlignment="1">
      <alignment horizontal="left" vertical="center" wrapText="1"/>
    </xf>
    <xf numFmtId="0" fontId="20" fillId="0" borderId="57" xfId="0" applyFont="1" applyFill="1" applyBorder="1" applyAlignment="1">
      <alignment horizontal="center" vertical="center"/>
    </xf>
    <xf numFmtId="0" fontId="20" fillId="0" borderId="231" xfId="0" applyFont="1" applyFill="1" applyBorder="1" applyAlignment="1">
      <alignment horizontal="center" vertical="center"/>
    </xf>
    <xf numFmtId="0" fontId="20" fillId="0" borderId="184" xfId="0" applyFont="1" applyFill="1" applyBorder="1" applyAlignment="1">
      <alignment horizontal="center" vertical="center" wrapText="1"/>
    </xf>
    <xf numFmtId="0" fontId="20" fillId="0" borderId="133" xfId="0" applyFont="1" applyFill="1" applyBorder="1" applyAlignment="1">
      <alignment horizontal="center" vertical="center"/>
    </xf>
    <xf numFmtId="0" fontId="20" fillId="0" borderId="25" xfId="0" applyFont="1" applyFill="1" applyBorder="1" applyAlignment="1">
      <alignment horizontal="center" vertical="center"/>
    </xf>
    <xf numFmtId="0" fontId="20" fillId="0" borderId="222" xfId="0" applyFont="1" applyFill="1" applyBorder="1" applyAlignment="1">
      <alignment horizontal="center" vertical="center"/>
    </xf>
    <xf numFmtId="0" fontId="20" fillId="0" borderId="224" xfId="0" applyFont="1" applyFill="1" applyBorder="1" applyAlignment="1">
      <alignment horizontal="center" vertical="center"/>
    </xf>
    <xf numFmtId="0" fontId="20" fillId="0" borderId="227" xfId="0" applyFont="1" applyFill="1" applyBorder="1" applyAlignment="1">
      <alignment horizontal="center" vertical="center"/>
    </xf>
    <xf numFmtId="0" fontId="20" fillId="0" borderId="228" xfId="0" applyFont="1" applyFill="1" applyBorder="1" applyAlignment="1">
      <alignment horizontal="center" vertical="center"/>
    </xf>
    <xf numFmtId="0" fontId="20" fillId="0" borderId="24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 wrapText="1"/>
    </xf>
    <xf numFmtId="0" fontId="10" fillId="0" borderId="117" xfId="0" applyFont="1" applyFill="1" applyBorder="1" applyAlignment="1">
      <alignment horizontal="center" vertical="center" wrapText="1"/>
    </xf>
    <xf numFmtId="0" fontId="20" fillId="0" borderId="28" xfId="0" applyFont="1" applyFill="1" applyBorder="1" applyAlignment="1">
      <alignment horizontal="center" vertical="center" wrapText="1"/>
    </xf>
    <xf numFmtId="0" fontId="0" fillId="0" borderId="117" xfId="0" applyBorder="1">
      <alignment vertical="center"/>
    </xf>
    <xf numFmtId="0" fontId="10" fillId="0" borderId="121" xfId="0" applyFont="1" applyFill="1" applyBorder="1" applyAlignment="1">
      <alignment horizontal="center" vertical="center"/>
    </xf>
    <xf numFmtId="0" fontId="10" fillId="0" borderId="229" xfId="0" applyFont="1" applyFill="1" applyBorder="1" applyAlignment="1">
      <alignment horizontal="center" vertical="center"/>
    </xf>
    <xf numFmtId="0" fontId="10" fillId="0" borderId="206" xfId="0" applyFont="1" applyFill="1" applyBorder="1" applyAlignment="1">
      <alignment horizontal="center" vertical="center"/>
    </xf>
    <xf numFmtId="0" fontId="10" fillId="0" borderId="230" xfId="0" applyFont="1" applyFill="1" applyBorder="1" applyAlignment="1">
      <alignment horizontal="center" vertical="center"/>
    </xf>
    <xf numFmtId="0" fontId="10" fillId="0" borderId="94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20" fillId="0" borderId="184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156" xfId="0" applyFont="1" applyFill="1" applyBorder="1" applyAlignment="1">
      <alignment horizontal="center" vertical="center"/>
    </xf>
    <xf numFmtId="0" fontId="10" fillId="4" borderId="159" xfId="0" applyFont="1" applyFill="1" applyBorder="1" applyAlignment="1">
      <alignment horizontal="center" vertical="center"/>
    </xf>
    <xf numFmtId="0" fontId="10" fillId="4" borderId="220" xfId="0" applyFont="1" applyFill="1" applyBorder="1" applyAlignment="1">
      <alignment horizontal="center" vertical="center"/>
    </xf>
    <xf numFmtId="0" fontId="10" fillId="4" borderId="202" xfId="0" applyFont="1" applyFill="1" applyBorder="1" applyAlignment="1">
      <alignment horizontal="center" vertical="center"/>
    </xf>
    <xf numFmtId="0" fontId="10" fillId="4" borderId="221" xfId="0" applyFont="1" applyFill="1" applyBorder="1" applyAlignment="1">
      <alignment horizontal="center" vertical="center"/>
    </xf>
    <xf numFmtId="0" fontId="20" fillId="0" borderId="94" xfId="0" applyFont="1" applyFill="1" applyBorder="1" applyAlignment="1">
      <alignment horizontal="left" vertical="center"/>
    </xf>
    <xf numFmtId="0" fontId="20" fillId="0" borderId="30" xfId="0" applyFont="1" applyFill="1" applyBorder="1" applyAlignment="1">
      <alignment horizontal="left" vertical="center"/>
    </xf>
    <xf numFmtId="0" fontId="20" fillId="0" borderId="63" xfId="0" applyFont="1" applyFill="1" applyBorder="1" applyAlignment="1">
      <alignment horizontal="left" vertical="center"/>
    </xf>
    <xf numFmtId="0" fontId="10" fillId="0" borderId="94" xfId="0" applyFont="1" applyFill="1" applyBorder="1" applyAlignment="1">
      <alignment horizontal="center" vertical="center" wrapText="1"/>
    </xf>
    <xf numFmtId="0" fontId="20" fillId="0" borderId="223" xfId="0" applyFont="1" applyFill="1" applyBorder="1" applyAlignment="1">
      <alignment horizontal="center" vertical="center"/>
    </xf>
    <xf numFmtId="0" fontId="20" fillId="0" borderId="178" xfId="0" applyFont="1" applyFill="1" applyBorder="1" applyAlignment="1">
      <alignment horizontal="center" vertical="center"/>
    </xf>
    <xf numFmtId="0" fontId="20" fillId="0" borderId="225" xfId="0" applyFont="1" applyFill="1" applyBorder="1" applyAlignment="1">
      <alignment horizontal="center" vertical="center"/>
    </xf>
    <xf numFmtId="0" fontId="20" fillId="0" borderId="120" xfId="0" applyFont="1" applyFill="1" applyBorder="1" applyAlignment="1">
      <alignment horizontal="left" vertical="center" wrapText="1"/>
    </xf>
    <xf numFmtId="0" fontId="10" fillId="0" borderId="120" xfId="0" applyFont="1" applyFill="1" applyBorder="1" applyAlignment="1">
      <alignment horizontal="center" vertical="center"/>
    </xf>
    <xf numFmtId="0" fontId="20" fillId="0" borderId="226" xfId="0" applyFont="1" applyFill="1" applyBorder="1" applyAlignment="1">
      <alignment horizontal="center" vertical="center"/>
    </xf>
    <xf numFmtId="0" fontId="20" fillId="0" borderId="135" xfId="0" applyFont="1" applyFill="1" applyBorder="1" applyAlignment="1">
      <alignment horizontal="center" vertical="center" wrapText="1"/>
    </xf>
    <xf numFmtId="0" fontId="20" fillId="0" borderId="163" xfId="0" applyFont="1" applyFill="1" applyBorder="1" applyAlignment="1">
      <alignment horizontal="center" vertical="center" wrapText="1"/>
    </xf>
    <xf numFmtId="0" fontId="33" fillId="0" borderId="105" xfId="7" applyFont="1" applyBorder="1" applyAlignment="1">
      <alignment horizontal="center" vertical="center" wrapText="1"/>
    </xf>
    <xf numFmtId="0" fontId="33" fillId="0" borderId="157" xfId="7" applyFont="1" applyBorder="1" applyAlignment="1">
      <alignment horizontal="center" vertical="center" wrapText="1"/>
    </xf>
    <xf numFmtId="0" fontId="31" fillId="0" borderId="160" xfId="7" applyFont="1" applyFill="1" applyBorder="1" applyAlignment="1">
      <alignment horizontal="center" vertical="center" wrapText="1"/>
    </xf>
    <xf numFmtId="0" fontId="31" fillId="0" borderId="115" xfId="7" applyFont="1" applyFill="1" applyBorder="1" applyAlignment="1">
      <alignment horizontal="center" vertical="center" wrapText="1"/>
    </xf>
    <xf numFmtId="0" fontId="31" fillId="0" borderId="117" xfId="7" applyFont="1" applyFill="1" applyBorder="1" applyAlignment="1">
      <alignment horizontal="center" vertical="center" wrapText="1"/>
    </xf>
    <xf numFmtId="177" fontId="33" fillId="0" borderId="86" xfId="7" applyNumberFormat="1" applyFont="1" applyBorder="1" applyAlignment="1">
      <alignment horizontal="center" vertical="center" wrapText="1"/>
    </xf>
    <xf numFmtId="177" fontId="33" fillId="0" borderId="30" xfId="7" applyNumberFormat="1" applyFont="1" applyBorder="1" applyAlignment="1">
      <alignment horizontal="center" vertical="center" wrapText="1"/>
    </xf>
    <xf numFmtId="0" fontId="33" fillId="0" borderId="85" xfId="7" applyFont="1" applyFill="1" applyBorder="1" applyAlignment="1">
      <alignment horizontal="center" vertical="center" wrapText="1"/>
    </xf>
    <xf numFmtId="0" fontId="33" fillId="0" borderId="31" xfId="7" applyFont="1" applyFill="1" applyBorder="1" applyAlignment="1">
      <alignment horizontal="center" vertical="center" wrapText="1"/>
    </xf>
    <xf numFmtId="0" fontId="31" fillId="0" borderId="0" xfId="7" applyNumberFormat="1" applyFont="1" applyBorder="1" applyAlignment="1">
      <alignment horizontal="left" vertical="center" wrapText="1"/>
    </xf>
    <xf numFmtId="49" fontId="33" fillId="0" borderId="73" xfId="7" applyNumberFormat="1" applyFont="1" applyFill="1" applyBorder="1" applyAlignment="1">
      <alignment horizontal="center" vertical="center" wrapText="1"/>
    </xf>
    <xf numFmtId="49" fontId="33" fillId="0" borderId="114" xfId="7" applyNumberFormat="1" applyFont="1" applyFill="1" applyBorder="1" applyAlignment="1">
      <alignment horizontal="center" vertical="center" wrapText="1"/>
    </xf>
    <xf numFmtId="49" fontId="33" fillId="0" borderId="86" xfId="7" applyNumberFormat="1" applyFont="1" applyFill="1" applyBorder="1" applyAlignment="1">
      <alignment horizontal="center" vertical="center" wrapText="1"/>
    </xf>
    <xf numFmtId="49" fontId="33" fillId="0" borderId="30" xfId="7" applyNumberFormat="1" applyFont="1" applyFill="1" applyBorder="1" applyAlignment="1">
      <alignment horizontal="center" vertical="center" wrapText="1"/>
    </xf>
    <xf numFmtId="41" fontId="33" fillId="0" borderId="86" xfId="2" applyFont="1" applyFill="1" applyBorder="1" applyAlignment="1">
      <alignment horizontal="center" vertical="center" wrapText="1"/>
    </xf>
    <xf numFmtId="41" fontId="33" fillId="0" borderId="30" xfId="2" applyFont="1" applyFill="1" applyBorder="1" applyAlignment="1">
      <alignment horizontal="center" vertical="center" wrapText="1"/>
    </xf>
    <xf numFmtId="0" fontId="33" fillId="0" borderId="64" xfId="7" applyFont="1" applyFill="1" applyBorder="1" applyAlignment="1">
      <alignment horizontal="center" vertical="center" wrapText="1"/>
    </xf>
    <xf numFmtId="0" fontId="33" fillId="0" borderId="18" xfId="7" applyFont="1" applyFill="1" applyBorder="1" applyAlignment="1">
      <alignment horizontal="center" vertical="center" wrapText="1"/>
    </xf>
    <xf numFmtId="0" fontId="33" fillId="0" borderId="86" xfId="7" applyFont="1" applyFill="1" applyBorder="1" applyAlignment="1">
      <alignment horizontal="center" vertical="center" wrapText="1"/>
    </xf>
    <xf numFmtId="0" fontId="33" fillId="0" borderId="30" xfId="7" applyFont="1" applyFill="1" applyBorder="1" applyAlignment="1">
      <alignment horizontal="center" vertical="center" wrapText="1"/>
    </xf>
    <xf numFmtId="49" fontId="33" fillId="0" borderId="113" xfId="7" applyNumberFormat="1" applyFont="1" applyFill="1" applyBorder="1" applyAlignment="1">
      <alignment horizontal="center" vertical="center" wrapText="1"/>
    </xf>
    <xf numFmtId="49" fontId="31" fillId="0" borderId="0" xfId="7" applyNumberFormat="1" applyFont="1" applyBorder="1" applyAlignment="1">
      <alignment vertical="center" wrapText="1"/>
    </xf>
    <xf numFmtId="0" fontId="33" fillId="0" borderId="0" xfId="7" applyFont="1" applyFill="1" applyBorder="1" applyAlignment="1">
      <alignment horizontal="left" vertical="center"/>
    </xf>
    <xf numFmtId="0" fontId="31" fillId="0" borderId="208" xfId="7" applyFont="1" applyFill="1" applyBorder="1" applyAlignment="1">
      <alignment horizontal="center" vertical="center" wrapText="1"/>
    </xf>
    <xf numFmtId="0" fontId="31" fillId="0" borderId="19" xfId="7" applyFont="1" applyFill="1" applyBorder="1" applyAlignment="1">
      <alignment horizontal="center" vertical="center" wrapText="1"/>
    </xf>
    <xf numFmtId="0" fontId="31" fillId="0" borderId="232" xfId="7" applyFont="1" applyFill="1" applyBorder="1" applyAlignment="1">
      <alignment horizontal="center" vertical="center" wrapText="1"/>
    </xf>
    <xf numFmtId="177" fontId="37" fillId="0" borderId="33" xfId="7" applyNumberFormat="1" applyFont="1" applyBorder="1" applyAlignment="1">
      <alignment horizontal="center" vertical="center" wrapText="1"/>
    </xf>
    <xf numFmtId="177" fontId="37" fillId="0" borderId="34" xfId="7" applyNumberFormat="1" applyFont="1" applyBorder="1" applyAlignment="1">
      <alignment horizontal="center" vertical="center" wrapText="1"/>
    </xf>
    <xf numFmtId="0" fontId="31" fillId="0" borderId="31" xfId="7" applyFont="1" applyFill="1" applyBorder="1" applyAlignment="1">
      <alignment horizontal="center" vertical="center" wrapText="1"/>
    </xf>
    <xf numFmtId="0" fontId="31" fillId="0" borderId="18" xfId="7" applyFont="1" applyFill="1" applyBorder="1" applyAlignment="1">
      <alignment horizontal="center" vertical="center" wrapText="1"/>
    </xf>
    <xf numFmtId="0" fontId="31" fillId="0" borderId="103" xfId="7" applyFont="1" applyFill="1" applyBorder="1" applyAlignment="1">
      <alignment horizontal="center" vertical="center" wrapText="1"/>
    </xf>
    <xf numFmtId="0" fontId="31" fillId="0" borderId="65" xfId="7" applyFont="1" applyFill="1" applyBorder="1" applyAlignment="1">
      <alignment horizontal="center" vertical="center" wrapText="1"/>
    </xf>
    <xf numFmtId="0" fontId="31" fillId="0" borderId="161" xfId="7" applyFont="1" applyFill="1" applyBorder="1" applyAlignment="1">
      <alignment horizontal="center" vertical="center" wrapText="1"/>
    </xf>
    <xf numFmtId="0" fontId="31" fillId="0" borderId="59" xfId="7" applyFont="1" applyFill="1" applyBorder="1" applyAlignment="1">
      <alignment horizontal="center" vertical="center" wrapText="1"/>
    </xf>
    <xf numFmtId="0" fontId="31" fillId="0" borderId="230" xfId="7" applyFont="1" applyFill="1" applyBorder="1" applyAlignment="1">
      <alignment horizontal="center" vertical="center" wrapText="1"/>
    </xf>
    <xf numFmtId="0" fontId="33" fillId="0" borderId="113" xfId="7" applyFont="1" applyFill="1" applyBorder="1" applyAlignment="1">
      <alignment horizontal="center" vertical="center" wrapText="1"/>
    </xf>
    <xf numFmtId="0" fontId="33" fillId="0" borderId="114" xfId="7" applyFont="1" applyFill="1" applyBorder="1" applyAlignment="1">
      <alignment horizontal="center" vertical="center" wrapText="1"/>
    </xf>
    <xf numFmtId="0" fontId="31" fillId="0" borderId="233" xfId="7" applyFont="1" applyFill="1" applyBorder="1" applyAlignment="1">
      <alignment horizontal="center" vertical="center" wrapText="1"/>
    </xf>
    <xf numFmtId="0" fontId="31" fillId="0" borderId="234" xfId="7" applyFont="1" applyFill="1" applyBorder="1" applyAlignment="1">
      <alignment horizontal="center" vertical="center" wrapText="1"/>
    </xf>
    <xf numFmtId="0" fontId="31" fillId="0" borderId="235" xfId="7" applyFont="1" applyFill="1" applyBorder="1" applyAlignment="1">
      <alignment horizontal="center" vertical="center" wrapText="1"/>
    </xf>
    <xf numFmtId="177" fontId="39" fillId="6" borderId="58" xfId="7" applyNumberFormat="1" applyFont="1" applyFill="1" applyBorder="1" applyAlignment="1">
      <alignment horizontal="center" vertical="center" wrapText="1"/>
    </xf>
    <xf numFmtId="177" fontId="39" fillId="6" borderId="235" xfId="7" applyNumberFormat="1" applyFont="1" applyFill="1" applyBorder="1" applyAlignment="1">
      <alignment horizontal="center" vertical="center" wrapText="1"/>
    </xf>
    <xf numFmtId="0" fontId="33" fillId="0" borderId="104" xfId="7" applyFont="1" applyFill="1" applyBorder="1" applyAlignment="1">
      <alignment horizontal="center" vertical="center" wrapText="1"/>
    </xf>
    <xf numFmtId="0" fontId="33" fillId="0" borderId="29" xfId="7" applyFont="1" applyFill="1" applyBorder="1" applyAlignment="1">
      <alignment horizontal="center" vertical="center" wrapText="1"/>
    </xf>
    <xf numFmtId="177" fontId="37" fillId="0" borderId="138" xfId="7" applyNumberFormat="1" applyFont="1" applyBorder="1" applyAlignment="1">
      <alignment horizontal="center" vertical="center" wrapText="1"/>
    </xf>
    <xf numFmtId="177" fontId="37" fillId="0" borderId="101" xfId="7" applyNumberFormat="1" applyFont="1" applyBorder="1" applyAlignment="1">
      <alignment horizontal="center" vertical="center" wrapText="1"/>
    </xf>
    <xf numFmtId="41" fontId="33" fillId="0" borderId="64" xfId="2" applyFont="1" applyFill="1" applyBorder="1" applyAlignment="1">
      <alignment horizontal="center" vertical="center" wrapText="1"/>
    </xf>
    <xf numFmtId="41" fontId="33" fillId="0" borderId="18" xfId="2" applyFont="1" applyFill="1" applyBorder="1" applyAlignment="1">
      <alignment horizontal="center" vertical="center" wrapText="1"/>
    </xf>
    <xf numFmtId="177" fontId="33" fillId="0" borderId="64" xfId="7" applyNumberFormat="1" applyFont="1" applyBorder="1" applyAlignment="1">
      <alignment horizontal="center" vertical="center" wrapText="1"/>
    </xf>
    <xf numFmtId="177" fontId="33" fillId="0" borderId="18" xfId="7" applyNumberFormat="1" applyFont="1" applyBorder="1" applyAlignment="1">
      <alignment horizontal="center" vertical="center" wrapText="1"/>
    </xf>
    <xf numFmtId="49" fontId="33" fillId="0" borderId="64" xfId="7" applyNumberFormat="1" applyFont="1" applyFill="1" applyBorder="1" applyAlignment="1">
      <alignment horizontal="center" vertical="center" wrapText="1"/>
    </xf>
    <xf numFmtId="49" fontId="33" fillId="0" borderId="18" xfId="7" applyNumberFormat="1" applyFont="1" applyFill="1" applyBorder="1" applyAlignment="1">
      <alignment horizontal="center" vertical="center" wrapText="1"/>
    </xf>
    <xf numFmtId="177" fontId="37" fillId="0" borderId="170" xfId="7" applyNumberFormat="1" applyFont="1" applyBorder="1" applyAlignment="1">
      <alignment horizontal="center" vertical="center" wrapText="1"/>
    </xf>
    <xf numFmtId="177" fontId="37" fillId="0" borderId="145" xfId="7" applyNumberFormat="1" applyFont="1" applyBorder="1" applyAlignment="1">
      <alignment horizontal="center" vertical="center" wrapText="1"/>
    </xf>
    <xf numFmtId="0" fontId="48" fillId="0" borderId="65" xfId="0" applyFont="1" applyFill="1" applyBorder="1" applyAlignment="1">
      <alignment horizontal="center" vertical="center" wrapText="1"/>
    </xf>
    <xf numFmtId="0" fontId="48" fillId="0" borderId="31" xfId="0" applyFont="1" applyFill="1" applyBorder="1" applyAlignment="1">
      <alignment horizontal="left" vertical="center" wrapText="1"/>
    </xf>
    <xf numFmtId="0" fontId="48" fillId="0" borderId="18" xfId="0" applyFont="1" applyFill="1" applyBorder="1" applyAlignment="1">
      <alignment horizontal="left" vertical="center" wrapText="1"/>
    </xf>
    <xf numFmtId="0" fontId="48" fillId="0" borderId="33" xfId="0" applyFont="1" applyFill="1" applyBorder="1" applyAlignment="1">
      <alignment horizontal="left" vertical="center" wrapText="1"/>
    </xf>
    <xf numFmtId="0" fontId="36" fillId="2" borderId="18" xfId="0" applyFont="1" applyFill="1" applyBorder="1" applyAlignment="1">
      <alignment horizontal="center" vertical="center" wrapText="1"/>
    </xf>
    <xf numFmtId="0" fontId="36" fillId="0" borderId="18" xfId="0" applyFont="1" applyFill="1" applyBorder="1" applyAlignment="1">
      <alignment horizontal="center" vertical="center" wrapText="1"/>
    </xf>
    <xf numFmtId="0" fontId="36" fillId="0" borderId="28" xfId="0" applyFont="1" applyFill="1" applyBorder="1" applyAlignment="1">
      <alignment horizontal="center" vertical="center" wrapText="1"/>
    </xf>
    <xf numFmtId="0" fontId="36" fillId="0" borderId="115" xfId="0" applyFont="1" applyFill="1" applyBorder="1" applyAlignment="1">
      <alignment horizontal="center" vertical="center" wrapText="1"/>
    </xf>
    <xf numFmtId="0" fontId="36" fillId="0" borderId="1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177" fontId="13" fillId="6" borderId="138" xfId="0" applyNumberFormat="1" applyFont="1" applyFill="1" applyBorder="1" applyAlignment="1">
      <alignment horizontal="center" vertical="center"/>
    </xf>
    <xf numFmtId="177" fontId="13" fillId="6" borderId="101" xfId="0" applyNumberFormat="1" applyFont="1" applyFill="1" applyBorder="1" applyAlignment="1">
      <alignment horizontal="center" vertical="center"/>
    </xf>
    <xf numFmtId="177" fontId="13" fillId="6" borderId="170" xfId="0" applyNumberFormat="1" applyFont="1" applyFill="1" applyBorder="1" applyAlignment="1">
      <alignment horizontal="center" vertical="center"/>
    </xf>
    <xf numFmtId="180" fontId="12" fillId="0" borderId="94" xfId="2" applyNumberFormat="1" applyFont="1" applyFill="1" applyBorder="1" applyAlignment="1">
      <alignment horizontal="center" vertical="center"/>
    </xf>
    <xf numFmtId="180" fontId="12" fillId="0" borderId="63" xfId="2" applyNumberFormat="1" applyFont="1" applyFill="1" applyBorder="1" applyAlignment="1">
      <alignment horizontal="center" vertical="center"/>
    </xf>
    <xf numFmtId="180" fontId="12" fillId="0" borderId="30" xfId="2" applyNumberFormat="1" applyFont="1" applyFill="1" applyBorder="1" applyAlignment="1">
      <alignment horizontal="center" vertical="center"/>
    </xf>
    <xf numFmtId="10" fontId="12" fillId="0" borderId="94" xfId="1" applyNumberFormat="1" applyFont="1" applyFill="1" applyBorder="1" applyAlignment="1">
      <alignment horizontal="center" vertical="center"/>
    </xf>
    <xf numFmtId="10" fontId="12" fillId="0" borderId="63" xfId="1" applyNumberFormat="1" applyFont="1" applyFill="1" applyBorder="1" applyAlignment="1">
      <alignment horizontal="center" vertical="center"/>
    </xf>
    <xf numFmtId="10" fontId="12" fillId="0" borderId="236" xfId="1" applyNumberFormat="1" applyFont="1" applyFill="1" applyBorder="1" applyAlignment="1">
      <alignment horizontal="center" vertical="center"/>
    </xf>
    <xf numFmtId="0" fontId="12" fillId="0" borderId="60" xfId="0" applyFont="1" applyFill="1" applyBorder="1" applyAlignment="1">
      <alignment horizontal="center" vertical="center" wrapText="1"/>
    </xf>
    <xf numFmtId="0" fontId="12" fillId="0" borderId="149" xfId="0" applyFont="1" applyFill="1" applyBorder="1" applyAlignment="1">
      <alignment horizontal="center" vertical="center" wrapText="1"/>
    </xf>
    <xf numFmtId="180" fontId="12" fillId="4" borderId="113" xfId="2" applyNumberFormat="1" applyFont="1" applyFill="1" applyBorder="1" applyAlignment="1">
      <alignment horizontal="center" vertical="center"/>
    </xf>
    <xf numFmtId="180" fontId="12" fillId="4" borderId="114" xfId="2" applyNumberFormat="1" applyFont="1" applyFill="1" applyBorder="1" applyAlignment="1">
      <alignment horizontal="center" vertical="center"/>
    </xf>
    <xf numFmtId="193" fontId="12" fillId="0" borderId="121" xfId="2" applyNumberFormat="1" applyFont="1" applyFill="1" applyBorder="1" applyAlignment="1">
      <alignment horizontal="center" vertical="center"/>
    </xf>
    <xf numFmtId="193" fontId="12" fillId="0" borderId="229" xfId="2" applyNumberFormat="1" applyFont="1" applyFill="1" applyBorder="1" applyAlignment="1">
      <alignment horizontal="center" vertical="center"/>
    </xf>
    <xf numFmtId="193" fontId="12" fillId="0" borderId="147" xfId="2" applyNumberFormat="1" applyFont="1" applyFill="1" applyBorder="1" applyAlignment="1">
      <alignment horizontal="center" vertical="center"/>
    </xf>
    <xf numFmtId="193" fontId="12" fillId="0" borderId="62" xfId="2" applyNumberFormat="1" applyFont="1" applyFill="1" applyBorder="1" applyAlignment="1">
      <alignment horizontal="center" vertical="center"/>
    </xf>
    <xf numFmtId="0" fontId="12" fillId="0" borderId="177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23" fillId="0" borderId="19" xfId="2" applyNumberFormat="1" applyFont="1" applyFill="1" applyBorder="1" applyAlignment="1">
      <alignment horizontal="center" vertical="center" wrapText="1"/>
    </xf>
    <xf numFmtId="0" fontId="31" fillId="0" borderId="214" xfId="7" applyFont="1" applyFill="1" applyBorder="1" applyAlignment="1">
      <alignment horizontal="center" vertical="center" wrapText="1"/>
    </xf>
    <xf numFmtId="0" fontId="31" fillId="0" borderId="215" xfId="7" applyFont="1" applyFill="1" applyBorder="1" applyAlignment="1">
      <alignment horizontal="center" vertical="center" wrapText="1"/>
    </xf>
    <xf numFmtId="0" fontId="31" fillId="0" borderId="237" xfId="7" applyFont="1" applyFill="1" applyBorder="1" applyAlignment="1">
      <alignment horizontal="center" vertical="center" wrapText="1"/>
    </xf>
    <xf numFmtId="0" fontId="33" fillId="0" borderId="86" xfId="7" applyFont="1" applyBorder="1" applyAlignment="1">
      <alignment horizontal="center" vertical="center" wrapText="1"/>
    </xf>
    <xf numFmtId="0" fontId="33" fillId="0" borderId="30" xfId="7" applyFont="1" applyBorder="1" applyAlignment="1">
      <alignment horizontal="center" vertical="center" wrapText="1"/>
    </xf>
    <xf numFmtId="0" fontId="33" fillId="0" borderId="102" xfId="7" applyFont="1" applyBorder="1" applyAlignment="1">
      <alignment horizontal="center" vertical="center" wrapText="1"/>
    </xf>
    <xf numFmtId="0" fontId="31" fillId="0" borderId="33" xfId="7" applyFont="1" applyBorder="1" applyAlignment="1">
      <alignment horizontal="center" vertical="center" wrapText="1"/>
    </xf>
    <xf numFmtId="0" fontId="33" fillId="0" borderId="64" xfId="7" applyFont="1" applyBorder="1" applyAlignment="1">
      <alignment horizontal="center" vertical="center" wrapText="1"/>
    </xf>
    <xf numFmtId="0" fontId="33" fillId="0" borderId="18" xfId="7" applyFont="1" applyBorder="1" applyAlignment="1">
      <alignment horizontal="center" vertical="center" wrapText="1"/>
    </xf>
    <xf numFmtId="0" fontId="23" fillId="0" borderId="19" xfId="2" applyNumberFormat="1" applyFont="1" applyFill="1" applyBorder="1" applyAlignment="1">
      <alignment horizontal="left" vertical="center" wrapText="1"/>
    </xf>
    <xf numFmtId="0" fontId="36" fillId="2" borderId="28" xfId="0" applyFont="1" applyFill="1" applyBorder="1" applyAlignment="1">
      <alignment horizontal="center" vertical="center" wrapText="1"/>
    </xf>
    <xf numFmtId="0" fontId="36" fillId="2" borderId="115" xfId="0" applyFont="1" applyFill="1" applyBorder="1" applyAlignment="1">
      <alignment horizontal="center" vertical="center" wrapText="1"/>
    </xf>
    <xf numFmtId="0" fontId="36" fillId="2" borderId="117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/>
    </xf>
    <xf numFmtId="0" fontId="12" fillId="4" borderId="124" xfId="0" applyFont="1" applyFill="1" applyBorder="1" applyAlignment="1">
      <alignment horizontal="center" vertical="center"/>
    </xf>
    <xf numFmtId="0" fontId="12" fillId="4" borderId="116" xfId="0" applyFont="1" applyFill="1" applyBorder="1" applyAlignment="1">
      <alignment horizontal="center" vertical="center"/>
    </xf>
    <xf numFmtId="177" fontId="13" fillId="6" borderId="35" xfId="0" applyNumberFormat="1" applyFont="1" applyFill="1" applyBorder="1" applyAlignment="1">
      <alignment horizontal="center" vertical="center"/>
    </xf>
    <xf numFmtId="177" fontId="13" fillId="6" borderId="63" xfId="0" applyNumberFormat="1" applyFont="1" applyFill="1" applyBorder="1" applyAlignment="1">
      <alignment horizontal="center" vertical="center"/>
    </xf>
    <xf numFmtId="177" fontId="13" fillId="6" borderId="37" xfId="0" applyNumberFormat="1" applyFont="1" applyFill="1" applyBorder="1" applyAlignment="1">
      <alignment horizontal="center" vertical="center"/>
    </xf>
    <xf numFmtId="180" fontId="12" fillId="4" borderId="184" xfId="2" applyNumberFormat="1" applyFont="1" applyFill="1" applyBorder="1" applyAlignment="1">
      <alignment horizontal="center" vertical="center"/>
    </xf>
    <xf numFmtId="180" fontId="12" fillId="4" borderId="126" xfId="2" applyNumberFormat="1" applyFont="1" applyFill="1" applyBorder="1" applyAlignment="1">
      <alignment horizontal="center" vertical="center"/>
    </xf>
    <xf numFmtId="180" fontId="12" fillId="4" borderId="133" xfId="2" applyNumberFormat="1" applyFont="1" applyFill="1" applyBorder="1" applyAlignment="1">
      <alignment horizontal="center" vertical="center"/>
    </xf>
    <xf numFmtId="177" fontId="13" fillId="6" borderId="94" xfId="0" applyNumberFormat="1" applyFont="1" applyFill="1" applyBorder="1" applyAlignment="1">
      <alignment horizontal="center" vertical="center"/>
    </xf>
    <xf numFmtId="177" fontId="13" fillId="6" borderId="30" xfId="0" applyNumberFormat="1" applyFont="1" applyFill="1" applyBorder="1" applyAlignment="1">
      <alignment horizontal="center" vertical="center"/>
    </xf>
    <xf numFmtId="0" fontId="12" fillId="4" borderId="184" xfId="0" applyFont="1" applyFill="1" applyBorder="1" applyAlignment="1">
      <alignment horizontal="center" vertical="center"/>
    </xf>
    <xf numFmtId="0" fontId="12" fillId="4" borderId="88" xfId="0" applyFont="1" applyFill="1" applyBorder="1" applyAlignment="1">
      <alignment horizontal="center" vertical="center"/>
    </xf>
    <xf numFmtId="0" fontId="12" fillId="4" borderId="185" xfId="0" applyFont="1" applyFill="1" applyBorder="1" applyAlignment="1">
      <alignment horizontal="center" vertical="center"/>
    </xf>
    <xf numFmtId="0" fontId="12" fillId="4" borderId="126" xfId="0" applyFont="1" applyFill="1" applyBorder="1" applyAlignment="1">
      <alignment horizontal="center" vertical="center"/>
    </xf>
    <xf numFmtId="179" fontId="12" fillId="0" borderId="238" xfId="0" applyNumberFormat="1" applyFont="1" applyFill="1" applyBorder="1" applyAlignment="1">
      <alignment horizontal="center" vertical="center"/>
    </xf>
    <xf numFmtId="179" fontId="12" fillId="0" borderId="239" xfId="0" applyNumberFormat="1" applyFont="1" applyFill="1" applyBorder="1" applyAlignment="1">
      <alignment horizontal="center" vertical="center"/>
    </xf>
    <xf numFmtId="179" fontId="12" fillId="0" borderId="240" xfId="0" applyNumberFormat="1" applyFont="1" applyFill="1" applyBorder="1" applyAlignment="1">
      <alignment horizontal="center" vertical="center"/>
    </xf>
    <xf numFmtId="0" fontId="12" fillId="4" borderId="89" xfId="0" applyFont="1" applyFill="1" applyBorder="1" applyAlignment="1">
      <alignment horizontal="center" vertical="center"/>
    </xf>
    <xf numFmtId="10" fontId="12" fillId="0" borderId="18" xfId="1" applyNumberFormat="1" applyFont="1" applyBorder="1" applyAlignment="1">
      <alignment horizontal="center" vertical="center"/>
    </xf>
    <xf numFmtId="10" fontId="12" fillId="4" borderId="94" xfId="1" applyNumberFormat="1" applyFont="1" applyFill="1" applyBorder="1" applyAlignment="1">
      <alignment horizontal="center" vertical="center"/>
    </xf>
    <xf numFmtId="10" fontId="12" fillId="4" borderId="30" xfId="1" applyNumberFormat="1" applyFont="1" applyFill="1" applyBorder="1" applyAlignment="1">
      <alignment horizontal="center" vertical="center"/>
    </xf>
    <xf numFmtId="0" fontId="12" fillId="4" borderId="125" xfId="0" applyFont="1" applyFill="1" applyBorder="1" applyAlignment="1">
      <alignment horizontal="center" vertical="center" wrapText="1"/>
    </xf>
    <xf numFmtId="0" fontId="12" fillId="4" borderId="133" xfId="0" applyFont="1" applyFill="1" applyBorder="1" applyAlignment="1">
      <alignment horizontal="center" vertical="center" wrapText="1"/>
    </xf>
    <xf numFmtId="9" fontId="12" fillId="0" borderId="94" xfId="0" applyNumberFormat="1" applyFont="1" applyFill="1" applyBorder="1" applyAlignment="1">
      <alignment horizontal="center" vertical="center"/>
    </xf>
    <xf numFmtId="9" fontId="12" fillId="0" borderId="63" xfId="0" applyNumberFormat="1" applyFont="1" applyFill="1" applyBorder="1" applyAlignment="1">
      <alignment horizontal="center" vertical="center"/>
    </xf>
    <xf numFmtId="9" fontId="12" fillId="0" borderId="30" xfId="0" applyNumberFormat="1" applyFont="1" applyFill="1" applyBorder="1" applyAlignment="1">
      <alignment horizontal="center" vertical="center"/>
    </xf>
    <xf numFmtId="0" fontId="12" fillId="4" borderId="90" xfId="0" applyFont="1" applyFill="1" applyBorder="1" applyAlignment="1">
      <alignment horizontal="center" vertical="center"/>
    </xf>
    <xf numFmtId="177" fontId="13" fillId="6" borderId="229" xfId="0" applyNumberFormat="1" applyFont="1" applyFill="1" applyBorder="1" applyAlignment="1">
      <alignment horizontal="center" vertical="center"/>
    </xf>
    <xf numFmtId="177" fontId="13" fillId="6" borderId="62" xfId="0" applyNumberFormat="1" applyFont="1" applyFill="1" applyBorder="1" applyAlignment="1">
      <alignment horizontal="center" vertical="center"/>
    </xf>
    <xf numFmtId="177" fontId="13" fillId="6" borderId="230" xfId="0" applyNumberFormat="1" applyFont="1" applyFill="1" applyBorder="1" applyAlignment="1">
      <alignment horizontal="center" vertical="center"/>
    </xf>
    <xf numFmtId="177" fontId="12" fillId="0" borderId="244" xfId="0" applyNumberFormat="1" applyFont="1" applyBorder="1" applyAlignment="1">
      <alignment horizontal="center" vertical="center"/>
    </xf>
    <xf numFmtId="177" fontId="12" fillId="0" borderId="179" xfId="0" applyNumberFormat="1" applyFont="1" applyBorder="1" applyAlignment="1">
      <alignment horizontal="center" vertical="center"/>
    </xf>
    <xf numFmtId="177" fontId="12" fillId="0" borderId="245" xfId="0" applyNumberFormat="1" applyFont="1" applyBorder="1" applyAlignment="1">
      <alignment horizontal="center" vertical="center"/>
    </xf>
    <xf numFmtId="177" fontId="12" fillId="0" borderId="229" xfId="0" applyNumberFormat="1" applyFont="1" applyFill="1" applyBorder="1" applyAlignment="1">
      <alignment horizontal="center" vertical="center"/>
    </xf>
    <xf numFmtId="177" fontId="12" fillId="0" borderId="62" xfId="0" applyNumberFormat="1" applyFont="1" applyFill="1" applyBorder="1" applyAlignment="1">
      <alignment horizontal="center" vertical="center"/>
    </xf>
    <xf numFmtId="177" fontId="12" fillId="0" borderId="230" xfId="0" applyNumberFormat="1" applyFont="1" applyFill="1" applyBorder="1" applyAlignment="1">
      <alignment horizontal="center" vertical="center"/>
    </xf>
    <xf numFmtId="0" fontId="12" fillId="4" borderId="223" xfId="0" applyFont="1" applyFill="1" applyBorder="1" applyAlignment="1">
      <alignment horizontal="center" vertical="center"/>
    </xf>
    <xf numFmtId="0" fontId="12" fillId="4" borderId="246" xfId="0" applyFont="1" applyFill="1" applyBorder="1" applyAlignment="1">
      <alignment horizontal="center" vertical="center"/>
    </xf>
    <xf numFmtId="0" fontId="12" fillId="4" borderId="130" xfId="0" applyFont="1" applyFill="1" applyBorder="1" applyAlignment="1">
      <alignment horizontal="center" vertical="center"/>
    </xf>
    <xf numFmtId="0" fontId="12" fillId="4" borderId="163" xfId="0" applyFont="1" applyFill="1" applyBorder="1" applyAlignment="1">
      <alignment horizontal="center" vertical="center"/>
    </xf>
    <xf numFmtId="0" fontId="12" fillId="4" borderId="32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9" fontId="12" fillId="0" borderId="18" xfId="0" applyNumberFormat="1" applyFont="1" applyFill="1" applyBorder="1" applyAlignment="1">
      <alignment horizontal="center" vertical="center"/>
    </xf>
    <xf numFmtId="177" fontId="12" fillId="0" borderId="190" xfId="0" applyNumberFormat="1" applyFont="1" applyBorder="1" applyAlignment="1">
      <alignment horizontal="center" vertical="center"/>
    </xf>
    <xf numFmtId="177" fontId="12" fillId="0" borderId="192" xfId="0" applyNumberFormat="1" applyFont="1" applyBorder="1" applyAlignment="1">
      <alignment horizontal="center" vertical="center"/>
    </xf>
    <xf numFmtId="0" fontId="12" fillId="4" borderId="134" xfId="0" applyFont="1" applyFill="1" applyBorder="1" applyAlignment="1">
      <alignment horizontal="center" vertical="center"/>
    </xf>
    <xf numFmtId="0" fontId="12" fillId="4" borderId="135" xfId="0" applyFont="1" applyFill="1" applyBorder="1" applyAlignment="1">
      <alignment horizontal="center" vertical="center"/>
    </xf>
    <xf numFmtId="0" fontId="12" fillId="4" borderId="125" xfId="0" applyFont="1" applyFill="1" applyBorder="1" applyAlignment="1">
      <alignment horizontal="center" vertical="center"/>
    </xf>
    <xf numFmtId="0" fontId="12" fillId="4" borderId="229" xfId="0" applyFont="1" applyFill="1" applyBorder="1" applyAlignment="1">
      <alignment horizontal="center" vertical="center"/>
    </xf>
    <xf numFmtId="0" fontId="12" fillId="4" borderId="230" xfId="0" applyFont="1" applyFill="1" applyBorder="1" applyAlignment="1">
      <alignment horizontal="center" vertical="center"/>
    </xf>
    <xf numFmtId="177" fontId="12" fillId="0" borderId="190" xfId="0" applyNumberFormat="1" applyFont="1" applyFill="1" applyBorder="1" applyAlignment="1">
      <alignment horizontal="center" vertical="center"/>
    </xf>
    <xf numFmtId="177" fontId="12" fillId="0" borderId="179" xfId="0" applyNumberFormat="1" applyFont="1" applyFill="1" applyBorder="1" applyAlignment="1">
      <alignment horizontal="center" vertical="center"/>
    </xf>
    <xf numFmtId="177" fontId="12" fillId="0" borderId="192" xfId="0" applyNumberFormat="1" applyFont="1" applyFill="1" applyBorder="1" applyAlignment="1">
      <alignment horizontal="center" vertical="center"/>
    </xf>
    <xf numFmtId="177" fontId="12" fillId="0" borderId="241" xfId="0" applyNumberFormat="1" applyFont="1" applyFill="1" applyBorder="1" applyAlignment="1">
      <alignment horizontal="center" vertical="center"/>
    </xf>
    <xf numFmtId="177" fontId="12" fillId="0" borderId="242" xfId="0" applyNumberFormat="1" applyFont="1" applyFill="1" applyBorder="1" applyAlignment="1">
      <alignment horizontal="center" vertical="center"/>
    </xf>
    <xf numFmtId="177" fontId="12" fillId="0" borderId="243" xfId="0" applyNumberFormat="1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shrinkToFit="1"/>
    </xf>
    <xf numFmtId="0" fontId="12" fillId="4" borderId="133" xfId="0" applyFont="1" applyFill="1" applyBorder="1" applyAlignment="1">
      <alignment horizontal="center" vertical="center"/>
    </xf>
    <xf numFmtId="177" fontId="13" fillId="6" borderId="56" xfId="0" applyNumberFormat="1" applyFont="1" applyFill="1" applyBorder="1" applyAlignment="1">
      <alignment horizontal="center" vertical="center"/>
    </xf>
    <xf numFmtId="177" fontId="13" fillId="6" borderId="84" xfId="0" applyNumberFormat="1" applyFont="1" applyFill="1" applyBorder="1" applyAlignment="1">
      <alignment horizontal="center" vertical="center"/>
    </xf>
    <xf numFmtId="177" fontId="13" fillId="6" borderId="18" xfId="0" applyNumberFormat="1" applyFont="1" applyFill="1" applyBorder="1" applyAlignment="1">
      <alignment horizontal="center" vertical="center"/>
    </xf>
    <xf numFmtId="10" fontId="12" fillId="0" borderId="18" xfId="0" applyNumberFormat="1" applyFont="1" applyBorder="1" applyAlignment="1">
      <alignment horizontal="center" vertical="center"/>
    </xf>
    <xf numFmtId="0" fontId="31" fillId="0" borderId="160" xfId="7" applyFont="1" applyFill="1" applyBorder="1" applyAlignment="1">
      <alignment horizontal="center" vertical="center"/>
    </xf>
    <xf numFmtId="0" fontId="31" fillId="0" borderId="115" xfId="7" applyFont="1" applyFill="1" applyBorder="1" applyAlignment="1">
      <alignment horizontal="center" vertical="center"/>
    </xf>
    <xf numFmtId="0" fontId="31" fillId="0" borderId="117" xfId="7" applyFont="1" applyFill="1" applyBorder="1" applyAlignment="1">
      <alignment horizontal="center" vertical="center"/>
    </xf>
    <xf numFmtId="0" fontId="31" fillId="0" borderId="233" xfId="7" applyFont="1" applyFill="1" applyBorder="1" applyAlignment="1">
      <alignment horizontal="center" vertical="center"/>
    </xf>
    <xf numFmtId="0" fontId="31" fillId="0" borderId="234" xfId="7" applyFont="1" applyFill="1" applyBorder="1" applyAlignment="1">
      <alignment horizontal="center" vertical="center"/>
    </xf>
    <xf numFmtId="0" fontId="31" fillId="0" borderId="235" xfId="7" applyFont="1" applyFill="1" applyBorder="1" applyAlignment="1">
      <alignment horizontal="center" vertical="center"/>
    </xf>
    <xf numFmtId="0" fontId="31" fillId="0" borderId="103" xfId="7" applyFont="1" applyFill="1" applyBorder="1" applyAlignment="1">
      <alignment horizontal="center" vertical="center"/>
    </xf>
    <xf numFmtId="0" fontId="31" fillId="0" borderId="65" xfId="7" applyFont="1" applyFill="1" applyBorder="1" applyAlignment="1">
      <alignment horizontal="center" vertical="center"/>
    </xf>
    <xf numFmtId="0" fontId="31" fillId="0" borderId="31" xfId="7" applyFont="1" applyFill="1" applyBorder="1" applyAlignment="1">
      <alignment horizontal="center" vertical="center"/>
    </xf>
    <xf numFmtId="0" fontId="31" fillId="0" borderId="18" xfId="7" applyFont="1" applyFill="1" applyBorder="1" applyAlignment="1">
      <alignment horizontal="center" vertical="center"/>
    </xf>
    <xf numFmtId="0" fontId="31" fillId="0" borderId="160" xfId="7" applyFont="1" applyBorder="1" applyAlignment="1">
      <alignment horizontal="center" vertical="center"/>
    </xf>
    <xf numFmtId="0" fontId="31" fillId="0" borderId="115" xfId="7" applyFont="1" applyBorder="1" applyAlignment="1">
      <alignment horizontal="center" vertical="center"/>
    </xf>
    <xf numFmtId="0" fontId="31" fillId="0" borderId="117" xfId="7" applyFont="1" applyBorder="1" applyAlignment="1">
      <alignment horizontal="center" vertical="center"/>
    </xf>
    <xf numFmtId="0" fontId="11" fillId="4" borderId="104" xfId="0" applyFont="1" applyFill="1" applyBorder="1" applyAlignment="1">
      <alignment horizontal="center" vertical="center"/>
    </xf>
    <xf numFmtId="0" fontId="11" fillId="4" borderId="29" xfId="0" applyFont="1" applyFill="1" applyBorder="1" applyAlignment="1">
      <alignment horizontal="center" vertical="center"/>
    </xf>
    <xf numFmtId="0" fontId="11" fillId="4" borderId="247" xfId="0" applyFont="1" applyFill="1" applyBorder="1" applyAlignment="1">
      <alignment horizontal="center" vertical="center"/>
    </xf>
    <xf numFmtId="0" fontId="11" fillId="4" borderId="248" xfId="0" applyFont="1" applyFill="1" applyBorder="1" applyAlignment="1">
      <alignment horizontal="center" vertical="center"/>
    </xf>
    <xf numFmtId="0" fontId="11" fillId="4" borderId="249" xfId="0" applyFont="1" applyFill="1" applyBorder="1" applyAlignment="1">
      <alignment horizontal="center" vertical="center"/>
    </xf>
    <xf numFmtId="0" fontId="11" fillId="0" borderId="104" xfId="0" applyFont="1" applyBorder="1" applyAlignment="1">
      <alignment horizontal="center" vertical="center"/>
    </xf>
    <xf numFmtId="0" fontId="11" fillId="0" borderId="60" xfId="0" applyFont="1" applyBorder="1" applyAlignment="1">
      <alignment horizontal="center" vertical="center"/>
    </xf>
    <xf numFmtId="0" fontId="11" fillId="0" borderId="149" xfId="0" applyFont="1" applyBorder="1" applyAlignment="1">
      <alignment horizontal="center" vertical="center"/>
    </xf>
    <xf numFmtId="49" fontId="31" fillId="0" borderId="0" xfId="7" applyNumberFormat="1" applyFont="1" applyBorder="1" applyAlignment="1">
      <alignment horizontal="left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1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5" fillId="0" borderId="94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180" fontId="15" fillId="0" borderId="94" xfId="2" applyNumberFormat="1" applyFont="1" applyBorder="1" applyAlignment="1">
      <alignment horizontal="center" vertical="center" wrapText="1"/>
    </xf>
    <xf numFmtId="180" fontId="15" fillId="0" borderId="30" xfId="2" applyNumberFormat="1" applyFont="1" applyBorder="1" applyAlignment="1">
      <alignment horizontal="center" vertical="center" wrapText="1"/>
    </xf>
    <xf numFmtId="191" fontId="15" fillId="0" borderId="18" xfId="0" applyNumberFormat="1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1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180" fontId="15" fillId="0" borderId="18" xfId="2" applyNumberFormat="1" applyFont="1" applyBorder="1" applyAlignment="1">
      <alignment horizontal="center" vertical="center" wrapText="1"/>
    </xf>
    <xf numFmtId="191" fontId="15" fillId="0" borderId="94" xfId="0" applyNumberFormat="1" applyFont="1" applyBorder="1" applyAlignment="1">
      <alignment horizontal="center" vertical="center" wrapText="1"/>
    </xf>
    <xf numFmtId="191" fontId="15" fillId="0" borderId="30" xfId="0" applyNumberFormat="1" applyFont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/>
    </xf>
    <xf numFmtId="177" fontId="56" fillId="6" borderId="94" xfId="0" applyNumberFormat="1" applyFont="1" applyFill="1" applyBorder="1" applyAlignment="1">
      <alignment horizontal="center" vertical="center"/>
    </xf>
    <xf numFmtId="177" fontId="56" fillId="6" borderId="63" xfId="0" applyNumberFormat="1" applyFont="1" applyFill="1" applyBorder="1" applyAlignment="1">
      <alignment horizontal="center" vertical="center"/>
    </xf>
    <xf numFmtId="177" fontId="56" fillId="6" borderId="30" xfId="0" applyNumberFormat="1" applyFont="1" applyFill="1" applyBorder="1" applyAlignment="1">
      <alignment horizontal="center" vertical="center"/>
    </xf>
    <xf numFmtId="0" fontId="47" fillId="4" borderId="94" xfId="0" applyFont="1" applyFill="1" applyBorder="1" applyAlignment="1">
      <alignment horizontal="center" vertical="center" wrapText="1"/>
    </xf>
    <xf numFmtId="0" fontId="47" fillId="4" borderId="30" xfId="0" applyFont="1" applyFill="1" applyBorder="1" applyAlignment="1">
      <alignment horizontal="center" vertical="center"/>
    </xf>
    <xf numFmtId="0" fontId="12" fillId="4" borderId="121" xfId="0" applyFont="1" applyFill="1" applyBorder="1" applyAlignment="1">
      <alignment horizontal="center" vertical="center" wrapText="1"/>
    </xf>
    <xf numFmtId="0" fontId="12" fillId="4" borderId="206" xfId="0" applyFont="1" applyFill="1" applyBorder="1" applyAlignment="1">
      <alignment horizontal="center" vertical="center" wrapText="1"/>
    </xf>
    <xf numFmtId="0" fontId="47" fillId="4" borderId="30" xfId="0" applyFont="1" applyFill="1" applyBorder="1" applyAlignment="1">
      <alignment horizontal="center" vertical="center" wrapText="1"/>
    </xf>
  </cellXfs>
  <cellStyles count="8">
    <cellStyle name="백분율" xfId="1" builtinId="5"/>
    <cellStyle name="쉼표 [0]" xfId="2" builtinId="6"/>
    <cellStyle name="표준" xfId="0" builtinId="0"/>
    <cellStyle name="표준 2" xfId="3"/>
    <cellStyle name="표준 2 2" xfId="4"/>
    <cellStyle name="표준 3" xfId="5"/>
    <cellStyle name="표준 4" xfId="6"/>
    <cellStyle name="표준_15_도로설계실적현황관리(수성+용마)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47625</xdr:rowOff>
    </xdr:from>
    <xdr:to>
      <xdr:col>1</xdr:col>
      <xdr:colOff>733425</xdr:colOff>
      <xdr:row>3</xdr:row>
      <xdr:rowOff>285750</xdr:rowOff>
    </xdr:to>
    <xdr:sp macro="" textlink="">
      <xdr:nvSpPr>
        <xdr:cNvPr id="38913" name="Rectangle 1"/>
        <xdr:cNvSpPr>
          <a:spLocks noChangeArrowheads="1"/>
        </xdr:cNvSpPr>
      </xdr:nvSpPr>
      <xdr:spPr bwMode="auto">
        <a:xfrm>
          <a:off x="1066800" y="800100"/>
          <a:ext cx="428625" cy="2381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104775</xdr:colOff>
      <xdr:row>4</xdr:row>
      <xdr:rowOff>47625</xdr:rowOff>
    </xdr:from>
    <xdr:to>
      <xdr:col>2</xdr:col>
      <xdr:colOff>533400</xdr:colOff>
      <xdr:row>4</xdr:row>
      <xdr:rowOff>285750</xdr:rowOff>
    </xdr:to>
    <xdr:sp macro="" textlink="">
      <xdr:nvSpPr>
        <xdr:cNvPr id="38914" name="Rectangle 2"/>
        <xdr:cNvSpPr>
          <a:spLocks noChangeArrowheads="1"/>
        </xdr:cNvSpPr>
      </xdr:nvSpPr>
      <xdr:spPr bwMode="auto">
        <a:xfrm>
          <a:off x="1628775" y="1133475"/>
          <a:ext cx="428625" cy="23812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16</xdr:row>
      <xdr:rowOff>28575</xdr:rowOff>
    </xdr:from>
    <xdr:to>
      <xdr:col>1</xdr:col>
      <xdr:colOff>390525</xdr:colOff>
      <xdr:row>16</xdr:row>
      <xdr:rowOff>171450</xdr:rowOff>
    </xdr:to>
    <xdr:sp macro="" textlink="">
      <xdr:nvSpPr>
        <xdr:cNvPr id="39937" name="Rectangle 31"/>
        <xdr:cNvSpPr>
          <a:spLocks noChangeArrowheads="1"/>
        </xdr:cNvSpPr>
      </xdr:nvSpPr>
      <xdr:spPr bwMode="auto">
        <a:xfrm>
          <a:off x="361950" y="4943475"/>
          <a:ext cx="352425" cy="1428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9352;%20&#54260;&#45908;\&#54620;&#44397;&#53664;&#51648;&#51452;&#53469;&#44277;&#49324;(&#49340;&#5050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592;&#49696;&#49900;&#49324;&#45800;/02_&#50857;&#50669;PQ/02_&#45800;&#51648;&#51312;&#49457;%20&#46321;%20&#49444;&#44228;&#50857;&#50669;%20&#49324;&#50629;&#49688;&#54665;&#45733;&#47141;&#54217;&#44032;/2016&#45380;&#46020;/(&#45800;&#51648;)&#44256;&#50577;&#51109;&#54637;%20&#44277;&#44277;&#51452;&#53469;&#51648;&#44396;%20&#51312;&#49324;&#49444;&#44228;&#50857;&#50669;(TP)/4_&#49324;&#50629;&#49688;&#54665;&#45733;&#47141;&#54217;&#44032;/&#54217;&#44032;&#51088;&#47308;/(&#54620;&#51333;+&#50976;&#49888;+&#52992;&#51060;&#51648;+&#46041;&#54644;+&#45824;&#54620;)(&#44256;&#50577;&#51109;&#54637;)-&#54217;&#44032;&#5145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작성요령"/>
      <sheetName val="참여업체"/>
      <sheetName val="배점기준"/>
      <sheetName val="종합"/>
      <sheetName val="기술자"/>
      <sheetName val="사책(동일)"/>
      <sheetName val="도시계획분책(김기환)"/>
      <sheetName val="도로공항분책(동일)"/>
      <sheetName val="상하수도분책(김승관)"/>
      <sheetName val="토질지질분책(윤민수)"/>
      <sheetName val="구조분책(동일)"/>
      <sheetName val="도시계획참여(동일)"/>
      <sheetName val="도로공항참여(박종오)"/>
      <sheetName val="상하수도참여(동일)"/>
      <sheetName val="토질지질참여(김재현)"/>
      <sheetName val="구조참여(동일)"/>
      <sheetName val="교육훈련"/>
      <sheetName val="전차용역(기술자)"/>
      <sheetName val="유사용역"/>
      <sheetName val="유사(동일)"/>
      <sheetName val="유사(삼안)"/>
      <sheetName val="전차용역"/>
      <sheetName val="신용도"/>
      <sheetName val="부실벌점"/>
      <sheetName val="기술투자"/>
      <sheetName val="개발(동일)"/>
      <sheetName val="개발(삼안)"/>
      <sheetName val="활용(동일)"/>
      <sheetName val="활용(삼안)"/>
      <sheetName val="중첩도"/>
      <sheetName val="중첩신고"/>
      <sheetName val="가감점"/>
    </sheetNames>
    <sheetDataSet>
      <sheetData sheetId="0"/>
      <sheetData sheetId="1"/>
      <sheetData sheetId="2">
        <row r="9">
          <cell r="G9">
            <v>1548118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">
          <cell r="A1" t="str">
            <v>▣ 개발실적</v>
          </cell>
        </row>
      </sheetData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작성요령"/>
      <sheetName val="참여업체"/>
      <sheetName val="배점기준"/>
      <sheetName val="기술자"/>
      <sheetName val="종합"/>
      <sheetName val="사책경력(주영해)"/>
      <sheetName val="사업책임기술자(주영해)"/>
      <sheetName val="도시계획책임(김지정)"/>
      <sheetName val="토목구조책임(곽명수)"/>
      <sheetName val="도로및공항책임(박병헌)"/>
      <sheetName val="토질지질책임(지정택)"/>
      <sheetName val="상하수도책임(육홍수)"/>
      <sheetName val="조경계획책임(이주민)"/>
      <sheetName val="도시계획참여(이정원)"/>
      <sheetName val="토목구조참여(전국진)"/>
      <sheetName val="도로및공항참여(송영원)"/>
      <sheetName val="토질지질참여(김창현)"/>
      <sheetName val="상하수도참여(박광호)"/>
      <sheetName val="조경계획참여(윤태호)"/>
      <sheetName val="교육훈련"/>
      <sheetName val="전차용역(기술자)"/>
      <sheetName val="유사용역"/>
      <sheetName val="유사(한종)"/>
      <sheetName val="유사(유신)"/>
      <sheetName val="유사(KG)"/>
      <sheetName val="유사(동해)"/>
      <sheetName val="유사(대콘)"/>
      <sheetName val="전차용역"/>
      <sheetName val="신용도"/>
      <sheetName val="부실벌점"/>
      <sheetName val="기술투자"/>
      <sheetName val="개발(한종)"/>
      <sheetName val="개발(유신)"/>
      <sheetName val="개발(KG)"/>
      <sheetName val="개발(동해)"/>
      <sheetName val="개발(대콘)"/>
      <sheetName val="활용(한종)"/>
      <sheetName val="활용(유신)"/>
      <sheetName val="활용(KG)"/>
      <sheetName val="활용(동해)"/>
      <sheetName val="활용(대콘)"/>
      <sheetName val="중첩도"/>
      <sheetName val="중첩신고"/>
      <sheetName val="가감점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K2">
            <v>18</v>
          </cell>
        </row>
      </sheetData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2:P23"/>
  <sheetViews>
    <sheetView workbookViewId="0">
      <selection activeCell="D6" sqref="D6"/>
    </sheetView>
  </sheetViews>
  <sheetFormatPr defaultRowHeight="13.5"/>
  <cols>
    <col min="1" max="13" width="8.88671875" style="147"/>
  </cols>
  <sheetData>
    <row r="2" spans="1:13" ht="32.25" customHeight="1">
      <c r="A2" s="148" t="s">
        <v>241</v>
      </c>
    </row>
    <row r="4" spans="1:13" s="151" customFormat="1" ht="26.25" customHeight="1">
      <c r="A4" s="149" t="s">
        <v>259</v>
      </c>
      <c r="B4" s="150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</row>
    <row r="5" spans="1:13" s="151" customFormat="1" ht="26.25" customHeight="1">
      <c r="A5" s="149" t="s">
        <v>406</v>
      </c>
      <c r="B5" s="150"/>
      <c r="C5" s="149"/>
      <c r="D5" s="149" t="s">
        <v>413</v>
      </c>
      <c r="E5" s="149"/>
      <c r="F5" s="149"/>
      <c r="G5" s="149"/>
      <c r="H5" s="149"/>
      <c r="I5" s="149"/>
      <c r="J5" s="149"/>
      <c r="K5" s="149"/>
      <c r="L5" s="149"/>
      <c r="M5" s="149"/>
    </row>
    <row r="6" spans="1:13" s="151" customFormat="1" ht="26.25" customHeight="1">
      <c r="A6" s="149" t="s">
        <v>407</v>
      </c>
      <c r="B6" s="149"/>
      <c r="C6" s="149"/>
      <c r="D6" s="149"/>
      <c r="E6" s="149"/>
      <c r="F6" s="149"/>
      <c r="G6" s="149"/>
      <c r="H6" s="149"/>
      <c r="I6" s="149"/>
      <c r="J6" s="149"/>
      <c r="K6" s="149"/>
      <c r="L6" s="149"/>
      <c r="M6" s="149"/>
    </row>
    <row r="7" spans="1:13" s="151" customFormat="1" ht="26.25" customHeight="1">
      <c r="A7" s="149" t="s">
        <v>408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</row>
    <row r="8" spans="1:13" s="151" customFormat="1" ht="36.75" customHeight="1">
      <c r="A8" s="826" t="s">
        <v>668</v>
      </c>
      <c r="B8" s="826"/>
      <c r="C8" s="826"/>
      <c r="D8" s="826"/>
      <c r="E8" s="826"/>
      <c r="F8" s="826"/>
      <c r="G8" s="826"/>
      <c r="H8" s="826"/>
      <c r="I8" s="826"/>
      <c r="J8" s="826"/>
      <c r="K8" s="826"/>
      <c r="L8" s="149"/>
      <c r="M8" s="149"/>
    </row>
    <row r="9" spans="1:13" s="151" customFormat="1" ht="26.25" customHeight="1">
      <c r="A9" s="149" t="s">
        <v>409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49"/>
    </row>
    <row r="10" spans="1:13" ht="41.25" customHeight="1">
      <c r="A10" s="825" t="s">
        <v>410</v>
      </c>
      <c r="B10" s="825"/>
      <c r="C10" s="825"/>
      <c r="D10" s="825"/>
      <c r="E10" s="825"/>
      <c r="F10" s="825"/>
      <c r="G10" s="825"/>
      <c r="H10" s="825"/>
      <c r="I10" s="825"/>
      <c r="J10" s="825"/>
      <c r="K10" s="825"/>
      <c r="L10" s="825"/>
      <c r="M10" s="825"/>
    </row>
    <row r="11" spans="1:13" ht="26.25" customHeight="1">
      <c r="A11" s="149" t="s">
        <v>411</v>
      </c>
    </row>
    <row r="12" spans="1:13" ht="26.25" customHeight="1">
      <c r="A12" s="149" t="s">
        <v>412</v>
      </c>
    </row>
    <row r="13" spans="1:13" ht="26.25" customHeight="1">
      <c r="A13" s="149" t="s">
        <v>829</v>
      </c>
    </row>
    <row r="14" spans="1:13" ht="26.25" customHeight="1"/>
    <row r="15" spans="1:13" ht="26.25" customHeight="1"/>
    <row r="16" spans="1:13" ht="26.25" customHeight="1"/>
    <row r="23" spans="16:16">
      <c r="P23" s="571" t="e">
        <f>기술투자!#REF!</f>
        <v>#REF!</v>
      </c>
    </row>
  </sheetData>
  <mergeCells count="2">
    <mergeCell ref="A10:M10"/>
    <mergeCell ref="A8:K8"/>
  </mergeCells>
  <phoneticPr fontId="2" type="noConversion"/>
  <pageMargins left="0.75" right="0.75" top="1" bottom="1" header="0.5" footer="0.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10"/>
  </sheetPr>
  <dimension ref="A1:P43"/>
  <sheetViews>
    <sheetView tabSelected="1" view="pageBreakPreview" zoomScale="115" zoomScaleNormal="85" zoomScaleSheetLayoutView="115" workbookViewId="0">
      <selection activeCell="D13" sqref="D13"/>
    </sheetView>
  </sheetViews>
  <sheetFormatPr defaultRowHeight="13.5"/>
  <cols>
    <col min="1" max="1" width="4" style="2" customWidth="1"/>
    <col min="2" max="2" width="15.6640625" style="2" customWidth="1"/>
    <col min="3" max="3" width="20.77734375" style="2" customWidth="1"/>
    <col min="4" max="4" width="22" style="2" customWidth="1"/>
    <col min="5" max="5" width="21.88671875" style="2" customWidth="1"/>
    <col min="6" max="6" width="20.77734375" style="2" customWidth="1"/>
    <col min="7" max="7" width="10.77734375" style="2" customWidth="1"/>
    <col min="8" max="9" width="8.88671875" style="2"/>
    <col min="10" max="10" width="11.5546875" style="2" customWidth="1"/>
    <col min="11" max="16384" width="8.88671875" style="2"/>
  </cols>
  <sheetData>
    <row r="1" spans="1:8" ht="12" customHeight="1" thickBot="1"/>
    <row r="2" spans="1:8" ht="47.25" customHeight="1" thickBot="1">
      <c r="B2" s="828" t="s">
        <v>806</v>
      </c>
      <c r="C2" s="829"/>
      <c r="D2" s="829"/>
      <c r="E2" s="829"/>
      <c r="F2" s="829"/>
      <c r="G2" s="830"/>
    </row>
    <row r="3" spans="1:8" s="3" customFormat="1" ht="27" customHeight="1">
      <c r="B3" s="23"/>
      <c r="C3" s="23"/>
      <c r="D3" s="23"/>
      <c r="E3" s="23"/>
      <c r="F3" s="23"/>
      <c r="G3" s="23"/>
    </row>
    <row r="4" spans="1:8" ht="36" customHeight="1">
      <c r="B4" s="314" t="s">
        <v>294</v>
      </c>
      <c r="C4" s="314"/>
      <c r="D4" s="314"/>
      <c r="E4" s="314"/>
      <c r="F4" s="314"/>
      <c r="G4" s="314"/>
    </row>
    <row r="5" spans="1:8" ht="9" customHeight="1">
      <c r="B5" s="315"/>
      <c r="C5" s="315"/>
      <c r="D5" s="315"/>
      <c r="E5" s="315"/>
      <c r="F5" s="315"/>
      <c r="G5" s="315"/>
    </row>
    <row r="6" spans="1:8" ht="108" customHeight="1">
      <c r="B6" s="316" t="s">
        <v>88</v>
      </c>
      <c r="C6" s="320" t="s">
        <v>833</v>
      </c>
      <c r="D6" s="320" t="s">
        <v>807</v>
      </c>
      <c r="E6" s="320" t="s">
        <v>808</v>
      </c>
      <c r="F6" s="320"/>
      <c r="G6" s="316" t="s">
        <v>198</v>
      </c>
    </row>
    <row r="7" spans="1:8" ht="108" customHeight="1">
      <c r="B7" s="316" t="s">
        <v>109</v>
      </c>
      <c r="C7" s="317">
        <v>0.42</v>
      </c>
      <c r="D7" s="317">
        <v>0.33</v>
      </c>
      <c r="E7" s="317">
        <v>0.25</v>
      </c>
      <c r="F7" s="317"/>
      <c r="G7" s="318"/>
    </row>
    <row r="8" spans="1:8" s="450" customFormat="1" ht="19.5" customHeight="1">
      <c r="A8" s="449" t="s">
        <v>85</v>
      </c>
      <c r="B8" s="827" t="s">
        <v>333</v>
      </c>
      <c r="C8" s="827"/>
      <c r="D8" s="827"/>
      <c r="E8" s="827"/>
      <c r="F8" s="827"/>
      <c r="G8" s="827"/>
      <c r="H8" s="251"/>
    </row>
    <row r="9" spans="1:8" ht="13.5" customHeight="1">
      <c r="B9" s="4"/>
      <c r="C9" s="4"/>
      <c r="D9" s="4"/>
      <c r="E9" s="4"/>
      <c r="F9" s="4"/>
    </row>
    <row r="10" spans="1:8" ht="13.5" customHeight="1">
      <c r="B10" s="4"/>
      <c r="C10" s="4"/>
      <c r="D10" s="4"/>
      <c r="E10" s="4"/>
      <c r="F10" s="4"/>
    </row>
    <row r="11" spans="1:8" ht="13.5" customHeight="1">
      <c r="B11" s="4"/>
      <c r="C11" s="4"/>
      <c r="D11" s="4"/>
      <c r="E11" s="4"/>
      <c r="F11" s="4"/>
    </row>
    <row r="12" spans="1:8" ht="13.5" customHeight="1">
      <c r="B12" s="4"/>
      <c r="C12" s="4"/>
      <c r="D12" s="4"/>
      <c r="E12" s="4"/>
      <c r="F12" s="4"/>
    </row>
    <row r="13" spans="1:8" ht="13.5" customHeight="1">
      <c r="B13" s="4"/>
      <c r="C13" s="4"/>
      <c r="D13" s="4"/>
      <c r="E13" s="4"/>
      <c r="F13" s="4"/>
    </row>
    <row r="14" spans="1:8" ht="13.5" customHeight="1">
      <c r="B14" s="4"/>
      <c r="C14" s="4"/>
      <c r="D14" s="4"/>
      <c r="E14" s="4"/>
      <c r="F14" s="4"/>
    </row>
    <row r="15" spans="1:8" ht="13.5" customHeight="1">
      <c r="B15" s="4"/>
      <c r="C15" s="4"/>
      <c r="D15" s="4"/>
      <c r="E15" s="4"/>
      <c r="F15" s="4"/>
    </row>
    <row r="16" spans="1:8" ht="13.5" customHeight="1">
      <c r="B16" s="4"/>
      <c r="C16" s="4"/>
      <c r="D16" s="4"/>
      <c r="E16" s="4"/>
      <c r="F16" s="4"/>
    </row>
    <row r="17" spans="2:16" ht="13.5" customHeight="1">
      <c r="B17" s="4"/>
      <c r="C17" s="4"/>
      <c r="D17" s="4"/>
      <c r="E17" s="4"/>
      <c r="F17" s="4"/>
    </row>
    <row r="18" spans="2:16" ht="13.5" customHeight="1">
      <c r="B18" s="4"/>
      <c r="C18" s="4"/>
      <c r="D18" s="4"/>
      <c r="E18" s="4"/>
      <c r="F18" s="4"/>
    </row>
    <row r="19" spans="2:16" ht="13.5" customHeight="1">
      <c r="B19" s="4"/>
      <c r="C19" s="4"/>
      <c r="D19" s="4"/>
      <c r="E19" s="4"/>
      <c r="F19" s="4"/>
    </row>
    <row r="20" spans="2:16" ht="13.5" customHeight="1">
      <c r="B20" s="4"/>
      <c r="C20" s="4"/>
      <c r="D20" s="4"/>
      <c r="E20" s="4"/>
      <c r="F20" s="4"/>
    </row>
    <row r="21" spans="2:16" ht="13.5" customHeight="1">
      <c r="B21" s="4"/>
      <c r="C21" s="4"/>
      <c r="D21" s="4"/>
      <c r="E21" s="4"/>
      <c r="F21" s="4"/>
    </row>
    <row r="22" spans="2:16" ht="13.5" customHeight="1">
      <c r="B22" s="4"/>
      <c r="C22" s="4"/>
      <c r="D22" s="4"/>
      <c r="E22" s="4"/>
      <c r="F22" s="4"/>
    </row>
    <row r="23" spans="2:16" ht="13.5" customHeight="1">
      <c r="B23" s="4"/>
      <c r="C23" s="4"/>
      <c r="D23" s="4"/>
      <c r="E23" s="4"/>
      <c r="F23" s="4"/>
      <c r="P23" s="566" t="e">
        <f>기술투자!#REF!</f>
        <v>#REF!</v>
      </c>
    </row>
    <row r="24" spans="2:16" ht="13.5" customHeight="1">
      <c r="B24" s="4"/>
      <c r="C24" s="4"/>
      <c r="D24" s="4"/>
      <c r="E24" s="4"/>
      <c r="F24" s="4"/>
    </row>
    <row r="25" spans="2:16" ht="13.5" customHeight="1">
      <c r="B25" s="4"/>
      <c r="C25" s="4"/>
      <c r="D25" s="4"/>
      <c r="E25" s="4"/>
      <c r="F25" s="4"/>
    </row>
    <row r="26" spans="2:16" ht="13.5" customHeight="1">
      <c r="B26" s="4"/>
      <c r="C26" s="4"/>
      <c r="D26" s="4"/>
      <c r="E26" s="4"/>
      <c r="F26" s="4"/>
    </row>
    <row r="27" spans="2:16" ht="13.5" customHeight="1">
      <c r="B27" s="4"/>
      <c r="C27" s="4"/>
      <c r="D27" s="4"/>
      <c r="E27" s="4"/>
      <c r="F27" s="4"/>
    </row>
    <row r="28" spans="2:16" ht="13.5" customHeight="1">
      <c r="B28" s="4"/>
      <c r="C28" s="4"/>
      <c r="D28" s="4"/>
      <c r="E28" s="4"/>
      <c r="F28" s="4"/>
    </row>
    <row r="29" spans="2:16" ht="13.5" customHeight="1">
      <c r="B29" s="4"/>
      <c r="C29" s="4"/>
      <c r="D29" s="4"/>
      <c r="E29" s="4"/>
      <c r="F29" s="4"/>
    </row>
    <row r="30" spans="2:16" ht="13.5" customHeight="1">
      <c r="B30" s="4"/>
      <c r="C30" s="4"/>
      <c r="D30" s="4"/>
      <c r="E30" s="4"/>
      <c r="F30" s="4"/>
    </row>
    <row r="31" spans="2:16" ht="13.5" customHeight="1">
      <c r="B31" s="4"/>
      <c r="C31" s="4"/>
      <c r="D31" s="4"/>
      <c r="E31" s="4"/>
      <c r="F31" s="4"/>
    </row>
    <row r="32" spans="2:16" ht="13.5" customHeight="1">
      <c r="B32" s="4"/>
      <c r="C32" s="4"/>
      <c r="D32" s="4"/>
      <c r="E32" s="4"/>
      <c r="F32" s="4"/>
    </row>
    <row r="33" spans="2:6" ht="13.5" customHeight="1">
      <c r="B33" s="4"/>
      <c r="C33" s="4"/>
      <c r="D33" s="4"/>
      <c r="E33" s="4"/>
      <c r="F33" s="4"/>
    </row>
    <row r="34" spans="2:6" ht="13.5" customHeight="1">
      <c r="B34" s="4"/>
      <c r="C34" s="4"/>
      <c r="D34" s="4"/>
      <c r="E34" s="4"/>
      <c r="F34" s="4"/>
    </row>
    <row r="35" spans="2:6" ht="13.5" customHeight="1">
      <c r="B35" s="4"/>
      <c r="C35" s="4"/>
      <c r="D35" s="4"/>
      <c r="E35" s="4"/>
      <c r="F35" s="4"/>
    </row>
    <row r="36" spans="2:6" ht="13.5" customHeight="1">
      <c r="B36" s="4"/>
      <c r="C36" s="4"/>
      <c r="D36" s="4"/>
      <c r="E36" s="4"/>
      <c r="F36" s="4"/>
    </row>
    <row r="37" spans="2:6" ht="13.5" customHeight="1">
      <c r="B37" s="4"/>
      <c r="C37" s="4"/>
      <c r="D37" s="4"/>
      <c r="E37" s="4"/>
      <c r="F37" s="4"/>
    </row>
    <row r="38" spans="2:6" ht="13.5" customHeight="1">
      <c r="B38" s="4"/>
      <c r="C38" s="4"/>
      <c r="D38" s="4"/>
      <c r="E38" s="4"/>
      <c r="F38" s="4"/>
    </row>
    <row r="39" spans="2:6" ht="13.5" customHeight="1">
      <c r="B39" s="4"/>
      <c r="C39" s="4"/>
      <c r="D39" s="4"/>
      <c r="E39" s="4"/>
      <c r="F39" s="4"/>
    </row>
    <row r="40" spans="2:6" ht="13.5" customHeight="1">
      <c r="B40" s="4"/>
      <c r="C40" s="4"/>
      <c r="D40" s="4"/>
      <c r="E40" s="4"/>
      <c r="F40" s="4"/>
    </row>
    <row r="41" spans="2:6" ht="13.5" customHeight="1">
      <c r="B41" s="4"/>
      <c r="C41" s="4"/>
      <c r="D41" s="4"/>
      <c r="E41" s="4"/>
      <c r="F41" s="4"/>
    </row>
    <row r="42" spans="2:6" ht="13.5" customHeight="1">
      <c r="B42" s="4"/>
      <c r="C42" s="4"/>
      <c r="D42" s="4"/>
      <c r="E42" s="4"/>
      <c r="F42" s="4"/>
    </row>
    <row r="43" spans="2:6" ht="13.5" customHeight="1"/>
  </sheetData>
  <mergeCells count="2">
    <mergeCell ref="B8:G8"/>
    <mergeCell ref="B2:G2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10"/>
    <pageSetUpPr fitToPage="1"/>
  </sheetPr>
  <dimension ref="A1:P133"/>
  <sheetViews>
    <sheetView showGridLines="0" zoomScale="85" zoomScaleSheetLayoutView="85" workbookViewId="0">
      <selection activeCell="H68" sqref="H68"/>
    </sheetView>
  </sheetViews>
  <sheetFormatPr defaultRowHeight="12"/>
  <cols>
    <col min="1" max="1" width="17.109375" style="27" customWidth="1"/>
    <col min="2" max="2" width="15.77734375" style="27" customWidth="1"/>
    <col min="3" max="3" width="8.6640625" style="71" customWidth="1"/>
    <col min="4" max="4" width="17.21875" style="27" customWidth="1"/>
    <col min="5" max="7" width="16.88671875" style="27" customWidth="1"/>
    <col min="8" max="9" width="16.6640625" style="27" bestFit="1" customWidth="1"/>
    <col min="10" max="10" width="8.88671875" style="13"/>
    <col min="11" max="11" width="20.5546875" style="13" bestFit="1" customWidth="1"/>
    <col min="12" max="12" width="18.44140625" style="13" bestFit="1" customWidth="1"/>
    <col min="13" max="16384" width="8.88671875" style="13"/>
  </cols>
  <sheetData>
    <row r="1" spans="1:9" ht="21" customHeight="1" thickBot="1">
      <c r="A1" s="848" t="s">
        <v>289</v>
      </c>
      <c r="B1" s="848"/>
      <c r="C1" s="849"/>
      <c r="D1" s="849"/>
      <c r="E1" s="26"/>
      <c r="F1" s="853"/>
      <c r="G1" s="853"/>
      <c r="I1" s="26"/>
    </row>
    <row r="2" spans="1:9" ht="21.75" customHeight="1">
      <c r="A2" s="447" t="s">
        <v>199</v>
      </c>
      <c r="B2" s="364" t="s">
        <v>99</v>
      </c>
      <c r="C2" s="365" t="s">
        <v>291</v>
      </c>
      <c r="D2" s="366" t="s">
        <v>96</v>
      </c>
      <c r="E2" s="367" t="s">
        <v>293</v>
      </c>
      <c r="F2" s="860" t="s">
        <v>314</v>
      </c>
      <c r="G2" s="860"/>
      <c r="H2" s="33" t="s">
        <v>319</v>
      </c>
      <c r="I2" s="33" t="s">
        <v>320</v>
      </c>
    </row>
    <row r="3" spans="1:9" ht="17.25" customHeight="1" thickBot="1">
      <c r="A3" s="850" t="s">
        <v>338</v>
      </c>
      <c r="B3" s="368" t="s">
        <v>200</v>
      </c>
      <c r="C3" s="580" t="s">
        <v>428</v>
      </c>
      <c r="D3" s="371">
        <v>0.3</v>
      </c>
      <c r="E3" s="833">
        <f>COUNTA(C3:C8)*2+1</f>
        <v>11</v>
      </c>
      <c r="F3" s="376" t="s">
        <v>315</v>
      </c>
      <c r="G3" s="379">
        <v>1500000</v>
      </c>
      <c r="H3" s="355">
        <v>150</v>
      </c>
      <c r="I3" s="357">
        <v>1</v>
      </c>
    </row>
    <row r="4" spans="1:9" ht="17.25" customHeight="1" thickBot="1">
      <c r="A4" s="851"/>
      <c r="B4" s="368" t="s">
        <v>201</v>
      </c>
      <c r="C4" s="580" t="s">
        <v>692</v>
      </c>
      <c r="D4" s="371">
        <v>0.1</v>
      </c>
      <c r="E4" s="834"/>
      <c r="F4" s="361" t="s">
        <v>316</v>
      </c>
      <c r="G4" s="382">
        <v>354000</v>
      </c>
      <c r="H4" s="378">
        <v>200</v>
      </c>
      <c r="I4" s="358">
        <v>0.93</v>
      </c>
    </row>
    <row r="5" spans="1:9" ht="18" customHeight="1" thickBot="1">
      <c r="A5" s="851"/>
      <c r="B5" s="368" t="s">
        <v>202</v>
      </c>
      <c r="C5" s="580" t="s">
        <v>691</v>
      </c>
      <c r="D5" s="371">
        <v>0.25</v>
      </c>
      <c r="E5" s="834"/>
      <c r="F5" s="361" t="s">
        <v>317</v>
      </c>
      <c r="G5" s="380">
        <f>IF(G3&gt;G4,100%,G3/G4)</f>
        <v>1</v>
      </c>
      <c r="H5" s="356">
        <v>300</v>
      </c>
      <c r="I5" s="358">
        <v>0.86</v>
      </c>
    </row>
    <row r="6" spans="1:9" ht="17.25" customHeight="1" thickBot="1">
      <c r="A6" s="851"/>
      <c r="B6" s="368" t="s">
        <v>203</v>
      </c>
      <c r="C6" s="580" t="s">
        <v>675</v>
      </c>
      <c r="D6" s="371">
        <v>0.1</v>
      </c>
      <c r="E6" s="834"/>
      <c r="F6" s="361" t="s">
        <v>318</v>
      </c>
      <c r="G6" s="383">
        <v>1505779</v>
      </c>
      <c r="H6" s="378">
        <v>500</v>
      </c>
      <c r="I6" s="358">
        <v>0.78</v>
      </c>
    </row>
    <row r="7" spans="1:9" ht="17.25" customHeight="1">
      <c r="A7" s="851"/>
      <c r="B7" s="369" t="s">
        <v>204</v>
      </c>
      <c r="C7" s="580" t="s">
        <v>676</v>
      </c>
      <c r="D7" s="371">
        <v>0.25</v>
      </c>
      <c r="E7" s="834"/>
      <c r="F7" s="361" t="s">
        <v>314</v>
      </c>
      <c r="G7" s="381">
        <f>G6*G5</f>
        <v>1505779</v>
      </c>
      <c r="H7" s="356">
        <v>1000</v>
      </c>
      <c r="I7" s="358">
        <v>0.73</v>
      </c>
    </row>
    <row r="8" spans="1:9" ht="17.25" customHeight="1">
      <c r="A8" s="851"/>
      <c r="B8" s="369"/>
      <c r="C8" s="580"/>
      <c r="D8" s="371"/>
      <c r="E8" s="834"/>
      <c r="F8" s="360" t="s">
        <v>320</v>
      </c>
      <c r="G8" s="377">
        <f>I9</f>
        <v>1</v>
      </c>
      <c r="H8" s="373">
        <v>2000</v>
      </c>
      <c r="I8" s="359">
        <v>0.71</v>
      </c>
    </row>
    <row r="9" spans="1:9" ht="17.25" customHeight="1" thickBot="1">
      <c r="A9" s="852"/>
      <c r="B9" s="858" t="s">
        <v>322</v>
      </c>
      <c r="C9" s="859"/>
      <c r="D9" s="372">
        <f>SUM(D3:D8)</f>
        <v>1</v>
      </c>
      <c r="E9" s="835"/>
      <c r="F9" s="375" t="s">
        <v>329</v>
      </c>
      <c r="G9" s="354">
        <f>G7/G8</f>
        <v>1505779</v>
      </c>
      <c r="H9" s="374" t="s">
        <v>321</v>
      </c>
      <c r="I9" s="386">
        <f>IF(G4/10000&lt;=H3,I3,IF((G4/10000)&lt;H4,I4+(H4-G4/10000)*((I3-I4)/(H4-H3)),IF(G4/10000&lt;H5,I5+(H5-G4/10000)*((I4-I5)/(H5-H4)),IF(G4/10000&lt;H6,I6+(H6-G4/10000)*((I5-I6)/(H6-H5)),IF(G4/10000&lt;H7,I7+(H7-G4/10000)*((I6-I7)/(H7-H6)),I8)))))</f>
        <v>1</v>
      </c>
    </row>
    <row r="10" spans="1:9" ht="18.75" customHeight="1">
      <c r="A10" s="28" t="s">
        <v>334</v>
      </c>
      <c r="B10" s="32" t="s">
        <v>94</v>
      </c>
      <c r="C10" s="362" t="s">
        <v>216</v>
      </c>
      <c r="D10" s="363" t="s">
        <v>99</v>
      </c>
      <c r="E10" s="363" t="s">
        <v>110</v>
      </c>
      <c r="F10" s="363" t="s">
        <v>111</v>
      </c>
      <c r="G10" s="32" t="s">
        <v>112</v>
      </c>
      <c r="H10" s="32" t="s">
        <v>113</v>
      </c>
      <c r="I10" s="33" t="s">
        <v>114</v>
      </c>
    </row>
    <row r="11" spans="1:9" ht="14.25" customHeight="1">
      <c r="A11" s="854" t="s">
        <v>90</v>
      </c>
      <c r="B11" s="838" t="s">
        <v>405</v>
      </c>
      <c r="C11" s="845">
        <v>4</v>
      </c>
      <c r="D11" s="29" t="s">
        <v>101</v>
      </c>
      <c r="E11" s="29" t="s">
        <v>102</v>
      </c>
      <c r="F11" s="29" t="s">
        <v>103</v>
      </c>
      <c r="G11" s="29" t="s">
        <v>104</v>
      </c>
      <c r="H11" s="34"/>
      <c r="I11" s="34"/>
    </row>
    <row r="12" spans="1:9" ht="14.25" customHeight="1">
      <c r="A12" s="855"/>
      <c r="B12" s="857"/>
      <c r="C12" s="842"/>
      <c r="D12" s="35" t="s">
        <v>95</v>
      </c>
      <c r="E12" s="36">
        <f>C11</f>
        <v>4</v>
      </c>
      <c r="F12" s="36">
        <f>C11*0.8</f>
        <v>3.2</v>
      </c>
      <c r="G12" s="36">
        <f>C11*0.6</f>
        <v>2.4</v>
      </c>
      <c r="H12" s="37"/>
      <c r="I12" s="37"/>
    </row>
    <row r="13" spans="1:9" ht="14.25" customHeight="1">
      <c r="A13" s="855"/>
      <c r="B13" s="846" t="s">
        <v>400</v>
      </c>
      <c r="C13" s="839">
        <v>0</v>
      </c>
      <c r="D13" s="30" t="s">
        <v>97</v>
      </c>
      <c r="E13" s="30" t="s">
        <v>139</v>
      </c>
      <c r="F13" s="30" t="s">
        <v>141</v>
      </c>
      <c r="G13" s="30" t="s">
        <v>142</v>
      </c>
      <c r="H13" s="30" t="s">
        <v>143</v>
      </c>
      <c r="I13" s="31" t="s">
        <v>144</v>
      </c>
    </row>
    <row r="14" spans="1:9" ht="14.25" customHeight="1">
      <c r="A14" s="855"/>
      <c r="B14" s="847"/>
      <c r="C14" s="841"/>
      <c r="D14" s="35" t="s">
        <v>95</v>
      </c>
      <c r="E14" s="36">
        <f>$C$13</f>
        <v>0</v>
      </c>
      <c r="F14" s="36">
        <f>$C$13*0.8</f>
        <v>0</v>
      </c>
      <c r="G14" s="36">
        <f>$C$13*0.6</f>
        <v>0</v>
      </c>
      <c r="H14" s="36">
        <f>$C$13*0.4</f>
        <v>0</v>
      </c>
      <c r="I14" s="36">
        <f>$C$13*0.2</f>
        <v>0</v>
      </c>
    </row>
    <row r="15" spans="1:9" ht="14.25" customHeight="1">
      <c r="A15" s="855"/>
      <c r="B15" s="846" t="s">
        <v>401</v>
      </c>
      <c r="C15" s="839">
        <v>0</v>
      </c>
      <c r="D15" s="30" t="s">
        <v>97</v>
      </c>
      <c r="E15" s="30" t="s">
        <v>139</v>
      </c>
      <c r="F15" s="30" t="s">
        <v>141</v>
      </c>
      <c r="G15" s="30" t="s">
        <v>142</v>
      </c>
      <c r="H15" s="30" t="s">
        <v>143</v>
      </c>
      <c r="I15" s="31" t="s">
        <v>144</v>
      </c>
    </row>
    <row r="16" spans="1:9" ht="14.25" customHeight="1">
      <c r="A16" s="856"/>
      <c r="B16" s="847"/>
      <c r="C16" s="841"/>
      <c r="D16" s="35" t="s">
        <v>95</v>
      </c>
      <c r="E16" s="36">
        <f>$C$15</f>
        <v>0</v>
      </c>
      <c r="F16" s="36">
        <f>$C$15*0.8</f>
        <v>0</v>
      </c>
      <c r="G16" s="36">
        <f>$C$15*0.6</f>
        <v>0</v>
      </c>
      <c r="H16" s="36">
        <f>$C$15*0.4</f>
        <v>0</v>
      </c>
      <c r="I16" s="36">
        <f>$C$15*0.2</f>
        <v>0</v>
      </c>
    </row>
    <row r="17" spans="1:16" ht="14.25" customHeight="1">
      <c r="A17" s="870" t="s">
        <v>126</v>
      </c>
      <c r="B17" s="846" t="s">
        <v>115</v>
      </c>
      <c r="C17" s="839">
        <v>5</v>
      </c>
      <c r="D17" s="30" t="s">
        <v>101</v>
      </c>
      <c r="E17" s="30" t="s">
        <v>102</v>
      </c>
      <c r="F17" s="30" t="s">
        <v>103</v>
      </c>
      <c r="G17" s="30" t="s">
        <v>104</v>
      </c>
      <c r="H17" s="45"/>
      <c r="I17" s="45"/>
    </row>
    <row r="18" spans="1:16" ht="14.25" customHeight="1">
      <c r="A18" s="873"/>
      <c r="B18" s="872"/>
      <c r="C18" s="840"/>
      <c r="D18" s="35" t="s">
        <v>95</v>
      </c>
      <c r="E18" s="46">
        <f>C17</f>
        <v>5</v>
      </c>
      <c r="F18" s="46">
        <f>C17*0.8</f>
        <v>4</v>
      </c>
      <c r="G18" s="46">
        <f>C17*0.6</f>
        <v>3</v>
      </c>
      <c r="H18" s="45"/>
      <c r="I18" s="45"/>
    </row>
    <row r="19" spans="1:16" ht="14.25" customHeight="1">
      <c r="A19" s="873"/>
      <c r="B19" s="872"/>
      <c r="C19" s="840"/>
      <c r="D19" s="35" t="str">
        <f>C3</f>
        <v>도시계획</v>
      </c>
      <c r="E19" s="47">
        <f>E18*$D$3</f>
        <v>1.5</v>
      </c>
      <c r="F19" s="47">
        <f>F18*$D$3</f>
        <v>1.2</v>
      </c>
      <c r="G19" s="47">
        <f>G18*$D$3</f>
        <v>0.89999999999999991</v>
      </c>
      <c r="H19" s="45"/>
      <c r="I19" s="45"/>
    </row>
    <row r="20" spans="1:16" ht="14.25" customHeight="1">
      <c r="A20" s="873"/>
      <c r="B20" s="872"/>
      <c r="C20" s="840"/>
      <c r="D20" s="35" t="str">
        <f>C4</f>
        <v>토질지질</v>
      </c>
      <c r="E20" s="47">
        <f>E18*$D$4</f>
        <v>0.5</v>
      </c>
      <c r="F20" s="47">
        <f>F18*$D$4</f>
        <v>0.4</v>
      </c>
      <c r="G20" s="47">
        <f>G18*$D$4</f>
        <v>0.30000000000000004</v>
      </c>
      <c r="H20" s="45"/>
      <c r="I20" s="45"/>
    </row>
    <row r="21" spans="1:16" ht="14.25" customHeight="1">
      <c r="A21" s="873"/>
      <c r="B21" s="872"/>
      <c r="C21" s="840"/>
      <c r="D21" s="35" t="str">
        <f>C5</f>
        <v>도로공항</v>
      </c>
      <c r="E21" s="47">
        <f>E18*$D$5</f>
        <v>1.25</v>
      </c>
      <c r="F21" s="47">
        <f>F18*$D$5</f>
        <v>1</v>
      </c>
      <c r="G21" s="47">
        <f>G18*$D$5</f>
        <v>0.75</v>
      </c>
      <c r="H21" s="45"/>
      <c r="I21" s="45"/>
    </row>
    <row r="22" spans="1:16" ht="14.25" customHeight="1">
      <c r="A22" s="873"/>
      <c r="B22" s="872"/>
      <c r="C22" s="840"/>
      <c r="D22" s="35" t="str">
        <f>C6</f>
        <v>토목구조</v>
      </c>
      <c r="E22" s="47">
        <f>E18*$D$6</f>
        <v>0.5</v>
      </c>
      <c r="F22" s="47">
        <f>F18*$D$6</f>
        <v>0.4</v>
      </c>
      <c r="G22" s="47">
        <f>G18*$D$6</f>
        <v>0.30000000000000004</v>
      </c>
      <c r="H22" s="45"/>
      <c r="I22" s="45"/>
    </row>
    <row r="23" spans="1:16" ht="14.25" customHeight="1">
      <c r="A23" s="873"/>
      <c r="B23" s="872"/>
      <c r="C23" s="840"/>
      <c r="D23" s="35" t="str">
        <f>C7</f>
        <v>상하수도</v>
      </c>
      <c r="E23" s="47">
        <f>E18*$D$7</f>
        <v>1.25</v>
      </c>
      <c r="F23" s="47">
        <f>F18*$D$7</f>
        <v>1</v>
      </c>
      <c r="G23" s="47">
        <f>G18*$D$7</f>
        <v>0.75</v>
      </c>
      <c r="H23" s="45"/>
      <c r="I23" s="45"/>
      <c r="P23" s="13" t="e">
        <f>기술투자!#REF!</f>
        <v>#REF!</v>
      </c>
    </row>
    <row r="24" spans="1:16" ht="14.25" customHeight="1">
      <c r="A24" s="870" t="s">
        <v>127</v>
      </c>
      <c r="B24" s="846" t="s">
        <v>115</v>
      </c>
      <c r="C24" s="839">
        <v>2</v>
      </c>
      <c r="D24" s="30" t="s">
        <v>101</v>
      </c>
      <c r="E24" s="30" t="s">
        <v>102</v>
      </c>
      <c r="F24" s="30" t="s">
        <v>103</v>
      </c>
      <c r="G24" s="30" t="s">
        <v>104</v>
      </c>
      <c r="H24" s="45"/>
      <c r="I24" s="45"/>
      <c r="J24" s="13" t="s">
        <v>437</v>
      </c>
    </row>
    <row r="25" spans="1:16" ht="14.25" customHeight="1">
      <c r="A25" s="873"/>
      <c r="B25" s="872"/>
      <c r="C25" s="840"/>
      <c r="D25" s="35" t="s">
        <v>95</v>
      </c>
      <c r="E25" s="46">
        <f>C24</f>
        <v>2</v>
      </c>
      <c r="F25" s="46">
        <f>C24</f>
        <v>2</v>
      </c>
      <c r="G25" s="46">
        <f>C24*0.8</f>
        <v>1.6</v>
      </c>
      <c r="H25" s="45"/>
      <c r="I25" s="45"/>
    </row>
    <row r="26" spans="1:16" ht="14.25" customHeight="1">
      <c r="A26" s="873"/>
      <c r="B26" s="872"/>
      <c r="C26" s="840"/>
      <c r="D26" s="35" t="str">
        <f>D19</f>
        <v>도시계획</v>
      </c>
      <c r="E26" s="47">
        <f>E25*$D$3</f>
        <v>0.6</v>
      </c>
      <c r="F26" s="47">
        <f>F25*$D$3</f>
        <v>0.6</v>
      </c>
      <c r="G26" s="47">
        <f>G25*$D$3</f>
        <v>0.48</v>
      </c>
      <c r="H26" s="45"/>
      <c r="I26" s="45"/>
    </row>
    <row r="27" spans="1:16" ht="14.25" customHeight="1">
      <c r="A27" s="873"/>
      <c r="B27" s="872"/>
      <c r="C27" s="840"/>
      <c r="D27" s="35" t="str">
        <f>D20</f>
        <v>토질지질</v>
      </c>
      <c r="E27" s="47">
        <f>E25*$D$4</f>
        <v>0.2</v>
      </c>
      <c r="F27" s="47">
        <f>F25*$D$4</f>
        <v>0.2</v>
      </c>
      <c r="G27" s="47">
        <f>G25*$D$4</f>
        <v>0.16000000000000003</v>
      </c>
      <c r="H27" s="45"/>
      <c r="I27" s="45"/>
    </row>
    <row r="28" spans="1:16" ht="14.25" customHeight="1">
      <c r="A28" s="873"/>
      <c r="B28" s="872"/>
      <c r="C28" s="840"/>
      <c r="D28" s="35" t="str">
        <f>D21</f>
        <v>도로공항</v>
      </c>
      <c r="E28" s="47">
        <f>E25*$D$5</f>
        <v>0.5</v>
      </c>
      <c r="F28" s="47">
        <f>F25*$D$5</f>
        <v>0.5</v>
      </c>
      <c r="G28" s="47">
        <f>G25*$D$5</f>
        <v>0.4</v>
      </c>
      <c r="H28" s="45"/>
      <c r="I28" s="45"/>
    </row>
    <row r="29" spans="1:16" ht="14.25" customHeight="1">
      <c r="A29" s="873"/>
      <c r="B29" s="872"/>
      <c r="C29" s="840"/>
      <c r="D29" s="35" t="str">
        <f>D22</f>
        <v>토목구조</v>
      </c>
      <c r="E29" s="47">
        <f>E25*$D$6</f>
        <v>0.2</v>
      </c>
      <c r="F29" s="47">
        <f>F25*$D$6</f>
        <v>0.2</v>
      </c>
      <c r="G29" s="47">
        <f>G25*$D$6</f>
        <v>0.16000000000000003</v>
      </c>
      <c r="H29" s="45"/>
      <c r="I29" s="45"/>
    </row>
    <row r="30" spans="1:16" ht="14.25" customHeight="1">
      <c r="A30" s="873"/>
      <c r="B30" s="872"/>
      <c r="C30" s="840"/>
      <c r="D30" s="35" t="str">
        <f>D23</f>
        <v>상하수도</v>
      </c>
      <c r="E30" s="47">
        <f>E25*$D$7</f>
        <v>0.5</v>
      </c>
      <c r="F30" s="47">
        <f>F25*$D$7</f>
        <v>0.5</v>
      </c>
      <c r="G30" s="47">
        <f>G25*$D$7</f>
        <v>0.4</v>
      </c>
      <c r="H30" s="45"/>
      <c r="I30" s="45"/>
    </row>
    <row r="31" spans="1:16" ht="14.25" customHeight="1">
      <c r="A31" s="870" t="s">
        <v>90</v>
      </c>
      <c r="B31" s="857" t="s">
        <v>402</v>
      </c>
      <c r="C31" s="842">
        <v>7</v>
      </c>
      <c r="D31" s="30" t="s">
        <v>105</v>
      </c>
      <c r="E31" s="38">
        <v>20</v>
      </c>
      <c r="F31" s="38">
        <v>18</v>
      </c>
      <c r="G31" s="38">
        <v>16</v>
      </c>
      <c r="H31" s="38">
        <v>14</v>
      </c>
      <c r="I31" s="39">
        <v>14</v>
      </c>
    </row>
    <row r="32" spans="1:16" ht="14.25" customHeight="1">
      <c r="A32" s="873"/>
      <c r="B32" s="857"/>
      <c r="C32" s="842"/>
      <c r="D32" s="35" t="s">
        <v>95</v>
      </c>
      <c r="E32" s="43">
        <f>$C$31*1</f>
        <v>7</v>
      </c>
      <c r="F32" s="36">
        <f>$C$31*0.9</f>
        <v>6.3</v>
      </c>
      <c r="G32" s="36">
        <f>$C$31*0.8</f>
        <v>5.6000000000000005</v>
      </c>
      <c r="H32" s="36">
        <f>$C$31*0.7</f>
        <v>4.8999999999999995</v>
      </c>
      <c r="I32" s="36">
        <f>$C$31*0.6</f>
        <v>4.2</v>
      </c>
    </row>
    <row r="33" spans="1:9" ht="14.25" customHeight="1">
      <c r="A33" s="873"/>
      <c r="B33" s="857" t="s">
        <v>403</v>
      </c>
      <c r="C33" s="842">
        <v>7</v>
      </c>
      <c r="D33" s="30" t="s">
        <v>106</v>
      </c>
      <c r="E33" s="41">
        <v>10</v>
      </c>
      <c r="F33" s="41">
        <v>9</v>
      </c>
      <c r="G33" s="41">
        <v>8</v>
      </c>
      <c r="H33" s="41">
        <v>7</v>
      </c>
      <c r="I33" s="42">
        <v>7</v>
      </c>
    </row>
    <row r="34" spans="1:9" ht="14.25" customHeight="1">
      <c r="A34" s="873"/>
      <c r="B34" s="857"/>
      <c r="C34" s="842"/>
      <c r="D34" s="35" t="s">
        <v>95</v>
      </c>
      <c r="E34" s="43">
        <f>$C$33*1</f>
        <v>7</v>
      </c>
      <c r="F34" s="43">
        <f>$C$33*0.9</f>
        <v>6.3</v>
      </c>
      <c r="G34" s="43">
        <f>$C$33*0.8</f>
        <v>5.6000000000000005</v>
      </c>
      <c r="H34" s="43">
        <f>$C$33*0.7</f>
        <v>4.8999999999999995</v>
      </c>
      <c r="I34" s="44">
        <f>$C$33*0.6</f>
        <v>4.2</v>
      </c>
    </row>
    <row r="35" spans="1:9" ht="14.25" customHeight="1">
      <c r="A35" s="873"/>
      <c r="B35" s="846" t="s">
        <v>404</v>
      </c>
      <c r="C35" s="836">
        <v>1</v>
      </c>
      <c r="D35" s="30" t="s">
        <v>133</v>
      </c>
      <c r="E35" s="30" t="s">
        <v>323</v>
      </c>
      <c r="F35" s="30" t="s">
        <v>324</v>
      </c>
      <c r="G35" s="846" t="s">
        <v>325</v>
      </c>
      <c r="H35" s="31" t="s">
        <v>90</v>
      </c>
      <c r="I35" s="385">
        <v>1</v>
      </c>
    </row>
    <row r="36" spans="1:9" ht="14.25" customHeight="1">
      <c r="A36" s="871"/>
      <c r="B36" s="847"/>
      <c r="C36" s="836"/>
      <c r="D36" s="50" t="s">
        <v>96</v>
      </c>
      <c r="E36" s="57">
        <v>1</v>
      </c>
      <c r="F36" s="451">
        <v>0.5</v>
      </c>
      <c r="G36" s="847"/>
      <c r="H36" s="31" t="s">
        <v>326</v>
      </c>
      <c r="I36" s="385">
        <v>0.7</v>
      </c>
    </row>
    <row r="37" spans="1:9" ht="14.25" customHeight="1">
      <c r="A37" s="870" t="s">
        <v>126</v>
      </c>
      <c r="B37" s="846" t="s">
        <v>116</v>
      </c>
      <c r="C37" s="839">
        <v>8</v>
      </c>
      <c r="D37" s="30" t="s">
        <v>105</v>
      </c>
      <c r="E37" s="38">
        <v>15</v>
      </c>
      <c r="F37" s="38">
        <v>13</v>
      </c>
      <c r="G37" s="38">
        <v>11</v>
      </c>
      <c r="H37" s="38">
        <v>9</v>
      </c>
      <c r="I37" s="39">
        <v>9</v>
      </c>
    </row>
    <row r="38" spans="1:9" ht="14.25" customHeight="1">
      <c r="A38" s="873"/>
      <c r="B38" s="872"/>
      <c r="C38" s="840"/>
      <c r="D38" s="35" t="s">
        <v>95</v>
      </c>
      <c r="E38" s="46">
        <f>C37</f>
        <v>8</v>
      </c>
      <c r="F38" s="46">
        <f>$C$37*0.9</f>
        <v>7.2</v>
      </c>
      <c r="G38" s="46">
        <f>$C$37*0.8</f>
        <v>6.4</v>
      </c>
      <c r="H38" s="46">
        <f>$C$37*0.7</f>
        <v>5.6</v>
      </c>
      <c r="I38" s="48">
        <f>$C$37*0.6</f>
        <v>4.8</v>
      </c>
    </row>
    <row r="39" spans="1:9" ht="14.25" customHeight="1">
      <c r="A39" s="873"/>
      <c r="B39" s="872"/>
      <c r="C39" s="840"/>
      <c r="D39" s="35" t="str">
        <f>D19</f>
        <v>도시계획</v>
      </c>
      <c r="E39" s="47">
        <f>E38*$D$3</f>
        <v>2.4</v>
      </c>
      <c r="F39" s="47">
        <f>F38*$D$3</f>
        <v>2.16</v>
      </c>
      <c r="G39" s="47">
        <f>G38*$D$3</f>
        <v>1.92</v>
      </c>
      <c r="H39" s="47">
        <f>H38*$D$3</f>
        <v>1.68</v>
      </c>
      <c r="I39" s="49">
        <f>I38*$D$3</f>
        <v>1.44</v>
      </c>
    </row>
    <row r="40" spans="1:9" ht="14.25" customHeight="1">
      <c r="A40" s="873"/>
      <c r="B40" s="872"/>
      <c r="C40" s="840"/>
      <c r="D40" s="50" t="str">
        <f>D20</f>
        <v>토질지질</v>
      </c>
      <c r="E40" s="47">
        <f>E38*$D$4</f>
        <v>0.8</v>
      </c>
      <c r="F40" s="47">
        <f>F38*$D$4</f>
        <v>0.72000000000000008</v>
      </c>
      <c r="G40" s="47">
        <f>G38*$D$4</f>
        <v>0.64000000000000012</v>
      </c>
      <c r="H40" s="47">
        <f>H38*$D$4</f>
        <v>0.55999999999999994</v>
      </c>
      <c r="I40" s="49">
        <f>I38*$D$4</f>
        <v>0.48</v>
      </c>
    </row>
    <row r="41" spans="1:9" ht="14.25" customHeight="1">
      <c r="A41" s="873"/>
      <c r="B41" s="872"/>
      <c r="C41" s="840"/>
      <c r="D41" s="50" t="str">
        <f>D21</f>
        <v>도로공항</v>
      </c>
      <c r="E41" s="47">
        <f>E38*$D$5</f>
        <v>2</v>
      </c>
      <c r="F41" s="47">
        <f>F38*$D$5</f>
        <v>1.8</v>
      </c>
      <c r="G41" s="47">
        <f>G38*$D$5</f>
        <v>1.6</v>
      </c>
      <c r="H41" s="47">
        <f>H38*$D$5</f>
        <v>1.4</v>
      </c>
      <c r="I41" s="49">
        <f>I38*$D$5</f>
        <v>1.2</v>
      </c>
    </row>
    <row r="42" spans="1:9" ht="14.25" customHeight="1">
      <c r="A42" s="873"/>
      <c r="B42" s="872"/>
      <c r="C42" s="840"/>
      <c r="D42" s="50" t="str">
        <f>D22</f>
        <v>토목구조</v>
      </c>
      <c r="E42" s="47">
        <f>E38*$D$6</f>
        <v>0.8</v>
      </c>
      <c r="F42" s="47">
        <f>F38*$D$6</f>
        <v>0.72000000000000008</v>
      </c>
      <c r="G42" s="47">
        <f>G38*$D$6</f>
        <v>0.64000000000000012</v>
      </c>
      <c r="H42" s="47">
        <f>H38*$D$6</f>
        <v>0.55999999999999994</v>
      </c>
      <c r="I42" s="49">
        <f>I38*$D$6</f>
        <v>0.48</v>
      </c>
    </row>
    <row r="43" spans="1:9" ht="14.25" customHeight="1">
      <c r="A43" s="873"/>
      <c r="B43" s="847"/>
      <c r="C43" s="841"/>
      <c r="D43" s="50" t="str">
        <f>D23</f>
        <v>상하수도</v>
      </c>
      <c r="E43" s="47">
        <f>E38*$D$7</f>
        <v>2</v>
      </c>
      <c r="F43" s="47">
        <f>F38*$D$7</f>
        <v>1.8</v>
      </c>
      <c r="G43" s="47">
        <f>G38*$D$7</f>
        <v>1.6</v>
      </c>
      <c r="H43" s="47">
        <f>H38*$D$7</f>
        <v>1.4</v>
      </c>
      <c r="I43" s="49">
        <f>I38*$D$7</f>
        <v>1.2</v>
      </c>
    </row>
    <row r="44" spans="1:9" ht="14.25" customHeight="1">
      <c r="A44" s="873"/>
      <c r="B44" s="846" t="s">
        <v>188</v>
      </c>
      <c r="C44" s="839">
        <v>9</v>
      </c>
      <c r="D44" s="30" t="s">
        <v>106</v>
      </c>
      <c r="E44" s="41">
        <v>8</v>
      </c>
      <c r="F44" s="41">
        <v>7</v>
      </c>
      <c r="G44" s="41">
        <v>6</v>
      </c>
      <c r="H44" s="41">
        <v>5</v>
      </c>
      <c r="I44" s="42">
        <v>5</v>
      </c>
    </row>
    <row r="45" spans="1:9" ht="14.25" customHeight="1">
      <c r="A45" s="873"/>
      <c r="B45" s="872"/>
      <c r="C45" s="840"/>
      <c r="D45" s="35" t="s">
        <v>95</v>
      </c>
      <c r="E45" s="46">
        <f>C44</f>
        <v>9</v>
      </c>
      <c r="F45" s="46">
        <f>$C$44*0.9</f>
        <v>8.1</v>
      </c>
      <c r="G45" s="46">
        <f>$C$44*0.8</f>
        <v>7.2</v>
      </c>
      <c r="H45" s="46">
        <f>$C$44*0.7</f>
        <v>6.3</v>
      </c>
      <c r="I45" s="48">
        <f>$C$44*0.6</f>
        <v>5.3999999999999995</v>
      </c>
    </row>
    <row r="46" spans="1:9" ht="14.25" customHeight="1">
      <c r="A46" s="873"/>
      <c r="B46" s="872"/>
      <c r="C46" s="840"/>
      <c r="D46" s="50" t="str">
        <f>D19</f>
        <v>도시계획</v>
      </c>
      <c r="E46" s="47">
        <f>E45*$D$3</f>
        <v>2.6999999999999997</v>
      </c>
      <c r="F46" s="47">
        <f>F45*$D$3</f>
        <v>2.4299999999999997</v>
      </c>
      <c r="G46" s="47">
        <f>G45*$D$3</f>
        <v>2.16</v>
      </c>
      <c r="H46" s="47">
        <f>H45*$D$3</f>
        <v>1.89</v>
      </c>
      <c r="I46" s="49">
        <f>I45*$D$3</f>
        <v>1.6199999999999999</v>
      </c>
    </row>
    <row r="47" spans="1:9" ht="14.25" customHeight="1">
      <c r="A47" s="873"/>
      <c r="B47" s="872"/>
      <c r="C47" s="840"/>
      <c r="D47" s="50" t="str">
        <f>D20</f>
        <v>토질지질</v>
      </c>
      <c r="E47" s="47">
        <f>E45*$D$4</f>
        <v>0.9</v>
      </c>
      <c r="F47" s="47">
        <f>F45*$D$4</f>
        <v>0.81</v>
      </c>
      <c r="G47" s="47">
        <f>G45*$D$4</f>
        <v>0.72000000000000008</v>
      </c>
      <c r="H47" s="47">
        <f>H45*$D$4</f>
        <v>0.63</v>
      </c>
      <c r="I47" s="49">
        <f>I45*$D$4</f>
        <v>0.53999999999999992</v>
      </c>
    </row>
    <row r="48" spans="1:9" ht="14.25" customHeight="1">
      <c r="A48" s="873"/>
      <c r="B48" s="872"/>
      <c r="C48" s="840"/>
      <c r="D48" s="50" t="str">
        <f>D21</f>
        <v>도로공항</v>
      </c>
      <c r="E48" s="47">
        <f>E45*$D$5</f>
        <v>2.25</v>
      </c>
      <c r="F48" s="47">
        <f>F45*$D$5</f>
        <v>2.0249999999999999</v>
      </c>
      <c r="G48" s="47">
        <f>G45*$D$5</f>
        <v>1.8</v>
      </c>
      <c r="H48" s="47">
        <f>H45*$D$5</f>
        <v>1.575</v>
      </c>
      <c r="I48" s="49">
        <f>I45*$D$5</f>
        <v>1.3499999999999999</v>
      </c>
    </row>
    <row r="49" spans="1:9" ht="14.25" customHeight="1">
      <c r="A49" s="873"/>
      <c r="B49" s="872"/>
      <c r="C49" s="840"/>
      <c r="D49" s="50" t="str">
        <f>D22</f>
        <v>토목구조</v>
      </c>
      <c r="E49" s="47">
        <f>E45*$D$6</f>
        <v>0.9</v>
      </c>
      <c r="F49" s="47">
        <f>F45*$D$6</f>
        <v>0.81</v>
      </c>
      <c r="G49" s="47">
        <f>G45*$D$6</f>
        <v>0.72000000000000008</v>
      </c>
      <c r="H49" s="47">
        <f>H45*$D$6</f>
        <v>0.63</v>
      </c>
      <c r="I49" s="49">
        <f>I45*$D$6</f>
        <v>0.53999999999999992</v>
      </c>
    </row>
    <row r="50" spans="1:9" ht="14.25" customHeight="1">
      <c r="A50" s="871"/>
      <c r="B50" s="847"/>
      <c r="C50" s="841"/>
      <c r="D50" s="50" t="str">
        <f>D23</f>
        <v>상하수도</v>
      </c>
      <c r="E50" s="47">
        <f>E45*$D$7</f>
        <v>2.25</v>
      </c>
      <c r="F50" s="47">
        <f>F45*$D$7</f>
        <v>2.0249999999999999</v>
      </c>
      <c r="G50" s="47">
        <f>G45*$D$7</f>
        <v>1.8</v>
      </c>
      <c r="H50" s="47">
        <f>H45*$D$7</f>
        <v>1.575</v>
      </c>
      <c r="I50" s="49">
        <f>I45*$D$7</f>
        <v>1.3499999999999999</v>
      </c>
    </row>
    <row r="51" spans="1:9" ht="14.25" customHeight="1">
      <c r="A51" s="620" t="s">
        <v>127</v>
      </c>
      <c r="B51" s="846" t="s">
        <v>116</v>
      </c>
      <c r="C51" s="839">
        <v>3</v>
      </c>
      <c r="D51" s="30" t="s">
        <v>105</v>
      </c>
      <c r="E51" s="38">
        <v>10</v>
      </c>
      <c r="F51" s="38">
        <v>8</v>
      </c>
      <c r="G51" s="38">
        <v>6</v>
      </c>
      <c r="H51" s="38">
        <v>4</v>
      </c>
      <c r="I51" s="39">
        <v>4</v>
      </c>
    </row>
    <row r="52" spans="1:9" ht="14.25" customHeight="1">
      <c r="A52" s="621"/>
      <c r="B52" s="872"/>
      <c r="C52" s="840"/>
      <c r="D52" s="35" t="s">
        <v>95</v>
      </c>
      <c r="E52" s="46">
        <f>C51</f>
        <v>3</v>
      </c>
      <c r="F52" s="46">
        <f>$C$51*0.9</f>
        <v>2.7</v>
      </c>
      <c r="G52" s="46">
        <f>$C$51*0.8</f>
        <v>2.4000000000000004</v>
      </c>
      <c r="H52" s="46">
        <f>$C$51*0.7</f>
        <v>2.0999999999999996</v>
      </c>
      <c r="I52" s="48">
        <f>$C$51*0.6</f>
        <v>1.7999999999999998</v>
      </c>
    </row>
    <row r="53" spans="1:9" ht="14.25" customHeight="1">
      <c r="A53" s="621"/>
      <c r="B53" s="872"/>
      <c r="C53" s="840"/>
      <c r="D53" s="35" t="str">
        <f>D26</f>
        <v>도시계획</v>
      </c>
      <c r="E53" s="47">
        <f>E52*$D$3</f>
        <v>0.89999999999999991</v>
      </c>
      <c r="F53" s="47">
        <f>F52*$D$3</f>
        <v>0.81</v>
      </c>
      <c r="G53" s="47">
        <f>G52*$D$3</f>
        <v>0.72000000000000008</v>
      </c>
      <c r="H53" s="47">
        <f>H52*$D$3</f>
        <v>0.62999999999999989</v>
      </c>
      <c r="I53" s="49">
        <f>I52*$D$3</f>
        <v>0.53999999999999992</v>
      </c>
    </row>
    <row r="54" spans="1:9" ht="14.25" customHeight="1">
      <c r="A54" s="621"/>
      <c r="B54" s="872"/>
      <c r="C54" s="840"/>
      <c r="D54" s="50" t="str">
        <f>D27</f>
        <v>토질지질</v>
      </c>
      <c r="E54" s="47">
        <f>E52*$D$4</f>
        <v>0.30000000000000004</v>
      </c>
      <c r="F54" s="47">
        <f>F52*$D$4</f>
        <v>0.27</v>
      </c>
      <c r="G54" s="47">
        <f>G52*$D$4</f>
        <v>0.24000000000000005</v>
      </c>
      <c r="H54" s="47">
        <f>H52*$D$4</f>
        <v>0.20999999999999996</v>
      </c>
      <c r="I54" s="49">
        <f>I52*$D$4</f>
        <v>0.18</v>
      </c>
    </row>
    <row r="55" spans="1:9" ht="14.25" customHeight="1">
      <c r="A55" s="621"/>
      <c r="B55" s="872"/>
      <c r="C55" s="840"/>
      <c r="D55" s="50" t="str">
        <f>D28</f>
        <v>도로공항</v>
      </c>
      <c r="E55" s="47">
        <f>E52*$D$5</f>
        <v>0.75</v>
      </c>
      <c r="F55" s="47">
        <f>F52*$D$5</f>
        <v>0.67500000000000004</v>
      </c>
      <c r="G55" s="47">
        <f>G52*$D$5</f>
        <v>0.60000000000000009</v>
      </c>
      <c r="H55" s="47">
        <f>H52*$D$5</f>
        <v>0.52499999999999991</v>
      </c>
      <c r="I55" s="49">
        <f>I52*$D$5</f>
        <v>0.44999999999999996</v>
      </c>
    </row>
    <row r="56" spans="1:9" ht="14.25" customHeight="1">
      <c r="A56" s="621"/>
      <c r="B56" s="872"/>
      <c r="C56" s="840"/>
      <c r="D56" s="50" t="str">
        <f>D29</f>
        <v>토목구조</v>
      </c>
      <c r="E56" s="47">
        <f>E52*$D$6</f>
        <v>0.30000000000000004</v>
      </c>
      <c r="F56" s="47">
        <f>F52*$D$6</f>
        <v>0.27</v>
      </c>
      <c r="G56" s="47">
        <f>G52*$D$6</f>
        <v>0.24000000000000005</v>
      </c>
      <c r="H56" s="47">
        <f>H52*$D$6</f>
        <v>0.20999999999999996</v>
      </c>
      <c r="I56" s="49">
        <f>I52*$D$6</f>
        <v>0.18</v>
      </c>
    </row>
    <row r="57" spans="1:9" ht="14.25" customHeight="1">
      <c r="A57" s="621"/>
      <c r="B57" s="847"/>
      <c r="C57" s="841"/>
      <c r="D57" s="50" t="str">
        <f>D30</f>
        <v>상하수도</v>
      </c>
      <c r="E57" s="47">
        <f>E52*$D$7</f>
        <v>0.75</v>
      </c>
      <c r="F57" s="47">
        <f>F52*$D$7</f>
        <v>0.67500000000000004</v>
      </c>
      <c r="G57" s="47">
        <f>G52*$D$7</f>
        <v>0.60000000000000009</v>
      </c>
      <c r="H57" s="47">
        <f>H52*$D$7</f>
        <v>0.52499999999999991</v>
      </c>
      <c r="I57" s="49">
        <f>I52*$D$7</f>
        <v>0.44999999999999996</v>
      </c>
    </row>
    <row r="58" spans="1:9" ht="14.25" customHeight="1">
      <c r="A58" s="621"/>
      <c r="B58" s="846" t="s">
        <v>188</v>
      </c>
      <c r="C58" s="839">
        <v>3</v>
      </c>
      <c r="D58" s="30" t="s">
        <v>106</v>
      </c>
      <c r="E58" s="41">
        <v>6</v>
      </c>
      <c r="F58" s="41">
        <v>5</v>
      </c>
      <c r="G58" s="41">
        <v>4</v>
      </c>
      <c r="H58" s="41">
        <v>3</v>
      </c>
      <c r="I58" s="42">
        <v>3</v>
      </c>
    </row>
    <row r="59" spans="1:9" ht="14.25" customHeight="1">
      <c r="A59" s="621"/>
      <c r="B59" s="872"/>
      <c r="C59" s="840"/>
      <c r="D59" s="35" t="s">
        <v>95</v>
      </c>
      <c r="E59" s="46">
        <f>C58</f>
        <v>3</v>
      </c>
      <c r="F59" s="46">
        <f>$C$58*0.9</f>
        <v>2.7</v>
      </c>
      <c r="G59" s="46">
        <f>$C$58*0.8</f>
        <v>2.4000000000000004</v>
      </c>
      <c r="H59" s="46">
        <f>$C$58*0.7</f>
        <v>2.0999999999999996</v>
      </c>
      <c r="I59" s="48">
        <f>$C$58*0.6</f>
        <v>1.7999999999999998</v>
      </c>
    </row>
    <row r="60" spans="1:9" ht="14.25" customHeight="1">
      <c r="A60" s="621"/>
      <c r="B60" s="872"/>
      <c r="C60" s="840"/>
      <c r="D60" s="50" t="str">
        <f>D26</f>
        <v>도시계획</v>
      </c>
      <c r="E60" s="47">
        <f>E59*$D$3</f>
        <v>0.89999999999999991</v>
      </c>
      <c r="F60" s="47">
        <f>F59*$D$3</f>
        <v>0.81</v>
      </c>
      <c r="G60" s="47">
        <f>G59*$D$3</f>
        <v>0.72000000000000008</v>
      </c>
      <c r="H60" s="47">
        <f>H59*$D$3</f>
        <v>0.62999999999999989</v>
      </c>
      <c r="I60" s="49">
        <f>I59*$D$3</f>
        <v>0.53999999999999992</v>
      </c>
    </row>
    <row r="61" spans="1:9" ht="14.25" customHeight="1">
      <c r="A61" s="621"/>
      <c r="B61" s="872"/>
      <c r="C61" s="840"/>
      <c r="D61" s="50" t="str">
        <f>D27</f>
        <v>토질지질</v>
      </c>
      <c r="E61" s="47">
        <f>E59*$D$4</f>
        <v>0.30000000000000004</v>
      </c>
      <c r="F61" s="47">
        <f>F59*$D$4</f>
        <v>0.27</v>
      </c>
      <c r="G61" s="47">
        <f>G59*$D$4</f>
        <v>0.24000000000000005</v>
      </c>
      <c r="H61" s="47">
        <f>H59*$D$4</f>
        <v>0.20999999999999996</v>
      </c>
      <c r="I61" s="49">
        <f>I59*$D$4</f>
        <v>0.18</v>
      </c>
    </row>
    <row r="62" spans="1:9" ht="14.25" customHeight="1">
      <c r="A62" s="621"/>
      <c r="B62" s="872"/>
      <c r="C62" s="840"/>
      <c r="D62" s="50" t="str">
        <f>D28</f>
        <v>도로공항</v>
      </c>
      <c r="E62" s="47">
        <f>E59*$D$5</f>
        <v>0.75</v>
      </c>
      <c r="F62" s="47">
        <f>F59*$D$5</f>
        <v>0.67500000000000004</v>
      </c>
      <c r="G62" s="47">
        <f>G59*$D$5</f>
        <v>0.60000000000000009</v>
      </c>
      <c r="H62" s="47">
        <f>H59*$D$5</f>
        <v>0.52499999999999991</v>
      </c>
      <c r="I62" s="49">
        <f>I59*$D$5</f>
        <v>0.44999999999999996</v>
      </c>
    </row>
    <row r="63" spans="1:9" ht="14.25" customHeight="1">
      <c r="A63" s="621"/>
      <c r="B63" s="872"/>
      <c r="C63" s="840"/>
      <c r="D63" s="50" t="str">
        <f>D29</f>
        <v>토목구조</v>
      </c>
      <c r="E63" s="47">
        <f>E59*$D$6</f>
        <v>0.30000000000000004</v>
      </c>
      <c r="F63" s="47">
        <f>F59*$D$6</f>
        <v>0.27</v>
      </c>
      <c r="G63" s="47">
        <f>G59*$D$6</f>
        <v>0.24000000000000005</v>
      </c>
      <c r="H63" s="47">
        <f>H59*$D$6</f>
        <v>0.20999999999999996</v>
      </c>
      <c r="I63" s="49">
        <f>I59*$D$6</f>
        <v>0.18</v>
      </c>
    </row>
    <row r="64" spans="1:9" ht="14.25" customHeight="1">
      <c r="A64" s="621"/>
      <c r="B64" s="847"/>
      <c r="C64" s="841"/>
      <c r="D64" s="50" t="str">
        <f>D30</f>
        <v>상하수도</v>
      </c>
      <c r="E64" s="47">
        <f>E59*$D$7</f>
        <v>0.75</v>
      </c>
      <c r="F64" s="47">
        <f>F59*$D$7</f>
        <v>0.67500000000000004</v>
      </c>
      <c r="G64" s="47">
        <f>G59*$D$7</f>
        <v>0.60000000000000009</v>
      </c>
      <c r="H64" s="47">
        <f>H59*$D$7</f>
        <v>0.52499999999999991</v>
      </c>
      <c r="I64" s="49">
        <f>I59*$D$7</f>
        <v>0.44999999999999996</v>
      </c>
    </row>
    <row r="65" spans="1:10" ht="14.25" customHeight="1">
      <c r="A65" s="870" t="s">
        <v>343</v>
      </c>
      <c r="B65" s="846" t="s">
        <v>136</v>
      </c>
      <c r="C65" s="839">
        <v>1</v>
      </c>
      <c r="D65" s="30" t="s">
        <v>133</v>
      </c>
      <c r="E65" s="30" t="s">
        <v>124</v>
      </c>
      <c r="F65" s="30" t="s">
        <v>211</v>
      </c>
      <c r="G65" s="35"/>
      <c r="H65" s="35"/>
      <c r="I65" s="54"/>
    </row>
    <row r="66" spans="1:10" ht="14.25" customHeight="1">
      <c r="A66" s="871"/>
      <c r="B66" s="847"/>
      <c r="C66" s="841"/>
      <c r="D66" s="35" t="s">
        <v>95</v>
      </c>
      <c r="E66" s="36">
        <v>1</v>
      </c>
      <c r="F66" s="36">
        <v>0.5</v>
      </c>
      <c r="G66" s="35"/>
      <c r="H66" s="35"/>
      <c r="I66" s="54"/>
    </row>
    <row r="67" spans="1:10" ht="14.25" customHeight="1">
      <c r="A67" s="874" t="s">
        <v>189</v>
      </c>
      <c r="B67" s="846" t="s">
        <v>205</v>
      </c>
      <c r="C67" s="843">
        <v>7</v>
      </c>
      <c r="D67" s="30" t="s">
        <v>123</v>
      </c>
      <c r="E67" s="787">
        <v>3</v>
      </c>
      <c r="F67" s="787">
        <v>2</v>
      </c>
      <c r="G67" s="787">
        <v>1</v>
      </c>
      <c r="H67" s="788">
        <v>1</v>
      </c>
      <c r="I67" s="42"/>
    </row>
    <row r="68" spans="1:10" ht="14.25" customHeight="1">
      <c r="A68" s="855"/>
      <c r="B68" s="872"/>
      <c r="C68" s="844"/>
      <c r="D68" s="35" t="s">
        <v>95</v>
      </c>
      <c r="E68" s="43">
        <f>$C$67*1</f>
        <v>7</v>
      </c>
      <c r="F68" s="43">
        <f>$C$67*0.9</f>
        <v>6.3</v>
      </c>
      <c r="G68" s="43">
        <f>$C$67*0.8</f>
        <v>5.6000000000000005</v>
      </c>
      <c r="H68" s="44">
        <f>$C$67*0.6</f>
        <v>4.2</v>
      </c>
      <c r="I68" s="44"/>
    </row>
    <row r="69" spans="1:10" ht="14.25" customHeight="1">
      <c r="A69" s="855"/>
      <c r="B69" s="872"/>
      <c r="C69" s="844"/>
      <c r="D69" s="837" t="s">
        <v>327</v>
      </c>
      <c r="E69" s="789">
        <v>2.1</v>
      </c>
      <c r="F69" s="388">
        <v>15</v>
      </c>
      <c r="G69" s="388">
        <v>30</v>
      </c>
      <c r="H69" s="45"/>
      <c r="I69" s="45"/>
    </row>
    <row r="70" spans="1:10" ht="14.25" customHeight="1">
      <c r="A70" s="855"/>
      <c r="B70" s="847"/>
      <c r="C70" s="845"/>
      <c r="D70" s="838"/>
      <c r="E70" s="387">
        <v>0.7</v>
      </c>
      <c r="F70" s="387">
        <v>1</v>
      </c>
      <c r="G70" s="387">
        <v>1.3</v>
      </c>
      <c r="H70" s="45"/>
      <c r="I70" s="45"/>
    </row>
    <row r="71" spans="1:10" ht="14.25" customHeight="1">
      <c r="A71" s="855"/>
      <c r="B71" s="837" t="s">
        <v>206</v>
      </c>
      <c r="C71" s="842">
        <v>7</v>
      </c>
      <c r="D71" s="325">
        <v>2.5</v>
      </c>
      <c r="E71" s="325">
        <v>2</v>
      </c>
      <c r="F71" s="325">
        <v>1.5</v>
      </c>
      <c r="G71" s="325">
        <v>1</v>
      </c>
      <c r="H71" s="325">
        <v>0.5</v>
      </c>
      <c r="I71" s="326">
        <v>0.5</v>
      </c>
    </row>
    <row r="72" spans="1:10" ht="14.25" customHeight="1">
      <c r="A72" s="855"/>
      <c r="B72" s="838"/>
      <c r="C72" s="842"/>
      <c r="D72" s="43">
        <f>$C$71</f>
        <v>7</v>
      </c>
      <c r="E72" s="43">
        <f>$C$71*0.9</f>
        <v>6.3</v>
      </c>
      <c r="F72" s="43">
        <f>$C$71*0.8</f>
        <v>5.6000000000000005</v>
      </c>
      <c r="G72" s="43">
        <f>$C$71*0.7</f>
        <v>4.8999999999999995</v>
      </c>
      <c r="H72" s="43">
        <f>$C$71*0.6</f>
        <v>4.2</v>
      </c>
      <c r="I72" s="43">
        <f>$C$71*0.5</f>
        <v>3.5</v>
      </c>
    </row>
    <row r="73" spans="1:10" ht="14.25" customHeight="1">
      <c r="A73" s="855"/>
      <c r="B73" s="846" t="s">
        <v>344</v>
      </c>
      <c r="C73" s="836">
        <v>1</v>
      </c>
      <c r="D73" s="30" t="s">
        <v>133</v>
      </c>
      <c r="E73" s="30" t="s">
        <v>323</v>
      </c>
      <c r="F73" s="30" t="s">
        <v>324</v>
      </c>
      <c r="G73" s="13"/>
      <c r="H73" s="13"/>
      <c r="I73" s="13"/>
    </row>
    <row r="74" spans="1:10" ht="14.25" customHeight="1">
      <c r="A74" s="856"/>
      <c r="B74" s="847"/>
      <c r="C74" s="836"/>
      <c r="D74" s="50" t="s">
        <v>96</v>
      </c>
      <c r="E74" s="57">
        <v>1</v>
      </c>
      <c r="F74" s="451">
        <v>0.5</v>
      </c>
      <c r="G74" s="13"/>
      <c r="H74" s="13"/>
      <c r="I74" s="13"/>
    </row>
    <row r="75" spans="1:10" ht="14.25" customHeight="1">
      <c r="A75" s="870" t="s">
        <v>107</v>
      </c>
      <c r="B75" s="846" t="s">
        <v>128</v>
      </c>
      <c r="C75" s="839">
        <v>7</v>
      </c>
      <c r="D75" s="30" t="s">
        <v>148</v>
      </c>
      <c r="E75" s="52">
        <v>1</v>
      </c>
      <c r="F75" s="53">
        <v>12</v>
      </c>
      <c r="G75" s="50" t="s">
        <v>117</v>
      </c>
      <c r="H75" s="50"/>
      <c r="I75" s="45"/>
    </row>
    <row r="76" spans="1:10" ht="14.25" customHeight="1">
      <c r="A76" s="873"/>
      <c r="B76" s="847"/>
      <c r="C76" s="840"/>
      <c r="D76" s="50" t="s">
        <v>125</v>
      </c>
      <c r="E76" s="36">
        <v>-0.7</v>
      </c>
      <c r="F76" s="53">
        <f>12*-0.7</f>
        <v>-8.3999999999999986</v>
      </c>
      <c r="G76" s="50"/>
      <c r="H76" s="35"/>
      <c r="I76" s="54"/>
    </row>
    <row r="77" spans="1:10" ht="14.25" customHeight="1">
      <c r="A77" s="873"/>
      <c r="B77" s="846" t="s">
        <v>129</v>
      </c>
      <c r="C77" s="840"/>
      <c r="D77" s="30" t="s">
        <v>148</v>
      </c>
      <c r="E77" s="52">
        <v>3</v>
      </c>
      <c r="F77" s="53">
        <v>12</v>
      </c>
      <c r="G77" s="50"/>
      <c r="H77" s="55"/>
      <c r="I77" s="56"/>
    </row>
    <row r="78" spans="1:10" ht="14.25" customHeight="1">
      <c r="A78" s="873"/>
      <c r="B78" s="847"/>
      <c r="C78" s="840"/>
      <c r="D78" s="50" t="s">
        <v>125</v>
      </c>
      <c r="E78" s="36">
        <v>-0.7</v>
      </c>
      <c r="F78" s="53">
        <f>4*-0.7</f>
        <v>-2.8</v>
      </c>
      <c r="G78" s="50"/>
      <c r="H78" s="35"/>
      <c r="I78" s="54"/>
    </row>
    <row r="79" spans="1:10" ht="14.25" customHeight="1">
      <c r="A79" s="873"/>
      <c r="B79" s="867" t="s">
        <v>91</v>
      </c>
      <c r="C79" s="840"/>
      <c r="D79" s="30" t="s">
        <v>97</v>
      </c>
      <c r="E79" s="30" t="s">
        <v>415</v>
      </c>
      <c r="F79" s="30" t="s">
        <v>416</v>
      </c>
      <c r="G79" s="30" t="s">
        <v>417</v>
      </c>
      <c r="H79" s="30" t="s">
        <v>418</v>
      </c>
      <c r="I79" s="30" t="s">
        <v>419</v>
      </c>
      <c r="J79" s="30" t="s">
        <v>414</v>
      </c>
    </row>
    <row r="80" spans="1:10" ht="14.25" customHeight="1">
      <c r="A80" s="873"/>
      <c r="B80" s="867"/>
      <c r="C80" s="841"/>
      <c r="D80" s="50" t="s">
        <v>95</v>
      </c>
      <c r="E80" s="36">
        <v>0.2</v>
      </c>
      <c r="F80" s="36">
        <v>0.5</v>
      </c>
      <c r="G80" s="36">
        <v>1</v>
      </c>
      <c r="H80" s="36">
        <v>2</v>
      </c>
      <c r="I80" s="40">
        <v>3</v>
      </c>
      <c r="J80" s="40">
        <v>5</v>
      </c>
    </row>
    <row r="81" spans="1:9" ht="21" customHeight="1">
      <c r="A81" s="873"/>
      <c r="B81" s="846" t="s">
        <v>149</v>
      </c>
      <c r="C81" s="839">
        <v>3</v>
      </c>
      <c r="D81" s="30" t="s">
        <v>154</v>
      </c>
      <c r="E81" s="30" t="s">
        <v>150</v>
      </c>
      <c r="F81" s="30" t="s">
        <v>190</v>
      </c>
      <c r="G81" s="30" t="s">
        <v>192</v>
      </c>
      <c r="H81" s="30" t="s">
        <v>207</v>
      </c>
      <c r="I81" s="31" t="s">
        <v>140</v>
      </c>
    </row>
    <row r="82" spans="1:9" ht="21" customHeight="1">
      <c r="A82" s="873"/>
      <c r="B82" s="872"/>
      <c r="C82" s="840"/>
      <c r="D82" s="30" t="s">
        <v>155</v>
      </c>
      <c r="E82" s="30" t="s">
        <v>151</v>
      </c>
      <c r="F82" s="30" t="s">
        <v>191</v>
      </c>
      <c r="G82" s="30" t="s">
        <v>193</v>
      </c>
      <c r="H82" s="30" t="s">
        <v>152</v>
      </c>
      <c r="I82" s="31" t="s">
        <v>140</v>
      </c>
    </row>
    <row r="83" spans="1:9" ht="21" customHeight="1">
      <c r="A83" s="873"/>
      <c r="B83" s="872"/>
      <c r="C83" s="840"/>
      <c r="D83" s="30" t="s">
        <v>156</v>
      </c>
      <c r="E83" s="30" t="s">
        <v>150</v>
      </c>
      <c r="F83" s="30" t="s">
        <v>190</v>
      </c>
      <c r="G83" s="30" t="s">
        <v>192</v>
      </c>
      <c r="H83" s="30" t="s">
        <v>153</v>
      </c>
      <c r="I83" s="31" t="s">
        <v>140</v>
      </c>
    </row>
    <row r="84" spans="1:9" ht="14.25" customHeight="1">
      <c r="A84" s="871"/>
      <c r="B84" s="847"/>
      <c r="C84" s="841"/>
      <c r="D84" s="50" t="s">
        <v>95</v>
      </c>
      <c r="E84" s="36">
        <f>C81</f>
        <v>3</v>
      </c>
      <c r="F84" s="36">
        <f>$C$81*0.9</f>
        <v>2.7</v>
      </c>
      <c r="G84" s="36">
        <f>$C$81*0.8</f>
        <v>2.4000000000000004</v>
      </c>
      <c r="H84" s="36">
        <f>$C$81*0.7</f>
        <v>2.0999999999999996</v>
      </c>
      <c r="I84" s="40">
        <v>0</v>
      </c>
    </row>
    <row r="85" spans="1:9" ht="14.25" customHeight="1">
      <c r="A85" s="874" t="s">
        <v>130</v>
      </c>
      <c r="B85" s="846" t="s">
        <v>131</v>
      </c>
      <c r="C85" s="839">
        <v>2</v>
      </c>
      <c r="D85" s="30" t="s">
        <v>99</v>
      </c>
      <c r="E85" s="30" t="s">
        <v>122</v>
      </c>
      <c r="F85" s="30" t="s">
        <v>132</v>
      </c>
      <c r="G85" s="30" t="s">
        <v>108</v>
      </c>
      <c r="H85" s="50"/>
      <c r="I85" s="45"/>
    </row>
    <row r="86" spans="1:9" ht="14.25" customHeight="1">
      <c r="A86" s="855"/>
      <c r="B86" s="872"/>
      <c r="C86" s="840"/>
      <c r="D86" s="50" t="s">
        <v>95</v>
      </c>
      <c r="E86" s="36">
        <v>1</v>
      </c>
      <c r="F86" s="36">
        <v>0.6</v>
      </c>
      <c r="G86" s="36">
        <v>0.3</v>
      </c>
      <c r="H86" s="50"/>
      <c r="I86" s="45"/>
    </row>
    <row r="87" spans="1:9" ht="14.25" customHeight="1">
      <c r="A87" s="855"/>
      <c r="B87" s="872"/>
      <c r="C87" s="840"/>
      <c r="D87" s="30" t="s">
        <v>99</v>
      </c>
      <c r="E87" s="30" t="s">
        <v>118</v>
      </c>
      <c r="F87" s="30" t="s">
        <v>120</v>
      </c>
      <c r="G87" s="30" t="s">
        <v>121</v>
      </c>
      <c r="H87" s="50"/>
      <c r="I87" s="45"/>
    </row>
    <row r="88" spans="1:9" ht="14.25" customHeight="1">
      <c r="A88" s="855"/>
      <c r="B88" s="872"/>
      <c r="C88" s="840"/>
      <c r="D88" s="35" t="s">
        <v>147</v>
      </c>
      <c r="E88" s="57">
        <v>1</v>
      </c>
      <c r="F88" s="57">
        <v>0.8</v>
      </c>
      <c r="G88" s="57">
        <v>0.6</v>
      </c>
      <c r="H88" s="50"/>
      <c r="I88" s="45"/>
    </row>
    <row r="89" spans="1:9" ht="14.25" customHeight="1">
      <c r="A89" s="855"/>
      <c r="B89" s="847"/>
      <c r="C89" s="841"/>
      <c r="D89" s="35" t="s">
        <v>108</v>
      </c>
      <c r="E89" s="57">
        <v>1</v>
      </c>
      <c r="F89" s="57">
        <v>0.8</v>
      </c>
      <c r="G89" s="58"/>
      <c r="H89" s="50"/>
      <c r="I89" s="45"/>
    </row>
    <row r="90" spans="1:9" ht="14.25" customHeight="1">
      <c r="A90" s="855"/>
      <c r="B90" s="867" t="s">
        <v>98</v>
      </c>
      <c r="C90" s="836">
        <v>10</v>
      </c>
      <c r="D90" s="30" t="s">
        <v>106</v>
      </c>
      <c r="E90" s="59">
        <v>0.03</v>
      </c>
      <c r="F90" s="59">
        <v>2.5000000000000001E-2</v>
      </c>
      <c r="G90" s="59">
        <v>0.02</v>
      </c>
      <c r="H90" s="59">
        <v>1.4999999999999999E-2</v>
      </c>
      <c r="I90" s="60">
        <v>1.4999999999999999E-2</v>
      </c>
    </row>
    <row r="91" spans="1:9" ht="14.25" customHeight="1">
      <c r="A91" s="855"/>
      <c r="B91" s="867"/>
      <c r="C91" s="836"/>
      <c r="D91" s="50" t="s">
        <v>95</v>
      </c>
      <c r="E91" s="36">
        <f>C90</f>
        <v>10</v>
      </c>
      <c r="F91" s="36">
        <f>$C$90*0.9</f>
        <v>9</v>
      </c>
      <c r="G91" s="36">
        <f>$C$90*0.8</f>
        <v>8</v>
      </c>
      <c r="H91" s="36">
        <f>$C$90*0.7</f>
        <v>7</v>
      </c>
      <c r="I91" s="40">
        <f>$C$90*0.6</f>
        <v>6</v>
      </c>
    </row>
    <row r="92" spans="1:9" ht="14.25" customHeight="1">
      <c r="A92" s="855"/>
      <c r="B92" s="846" t="s">
        <v>208</v>
      </c>
      <c r="C92" s="839">
        <v>3</v>
      </c>
      <c r="D92" s="30" t="s">
        <v>99</v>
      </c>
      <c r="E92" s="30" t="s">
        <v>122</v>
      </c>
      <c r="F92" s="30" t="s">
        <v>132</v>
      </c>
      <c r="G92" s="30" t="s">
        <v>108</v>
      </c>
      <c r="H92" s="50"/>
      <c r="I92" s="45"/>
    </row>
    <row r="93" spans="1:9" ht="14.25" customHeight="1">
      <c r="A93" s="855"/>
      <c r="B93" s="872"/>
      <c r="C93" s="840"/>
      <c r="D93" s="50" t="s">
        <v>95</v>
      </c>
      <c r="E93" s="36">
        <v>1</v>
      </c>
      <c r="F93" s="36">
        <v>0.6</v>
      </c>
      <c r="G93" s="36">
        <v>0.3</v>
      </c>
      <c r="H93" s="50"/>
      <c r="I93" s="45"/>
    </row>
    <row r="94" spans="1:9" ht="14.25" customHeight="1">
      <c r="A94" s="855"/>
      <c r="B94" s="872"/>
      <c r="C94" s="840"/>
      <c r="D94" s="30" t="s">
        <v>99</v>
      </c>
      <c r="E94" s="30" t="s">
        <v>118</v>
      </c>
      <c r="F94" s="30" t="s">
        <v>120</v>
      </c>
      <c r="G94" s="30" t="s">
        <v>121</v>
      </c>
      <c r="H94" s="50"/>
      <c r="I94" s="45"/>
    </row>
    <row r="95" spans="1:9" ht="14.25" customHeight="1">
      <c r="A95" s="855"/>
      <c r="B95" s="872"/>
      <c r="C95" s="840"/>
      <c r="D95" s="35" t="s">
        <v>147</v>
      </c>
      <c r="E95" s="57">
        <v>1</v>
      </c>
      <c r="F95" s="57">
        <v>0.8</v>
      </c>
      <c r="G95" s="57">
        <v>0.6</v>
      </c>
      <c r="H95" s="50"/>
      <c r="I95" s="45"/>
    </row>
    <row r="96" spans="1:9" ht="14.25" customHeight="1">
      <c r="A96" s="855"/>
      <c r="B96" s="872"/>
      <c r="C96" s="840"/>
      <c r="D96" s="35" t="s">
        <v>108</v>
      </c>
      <c r="E96" s="57">
        <v>1</v>
      </c>
      <c r="F96" s="57">
        <v>0.8</v>
      </c>
      <c r="G96" s="58"/>
      <c r="H96" s="50"/>
      <c r="I96" s="45"/>
    </row>
    <row r="97" spans="1:10" ht="14.25" customHeight="1">
      <c r="A97" s="855"/>
      <c r="B97" s="872"/>
      <c r="C97" s="840"/>
      <c r="D97" s="30" t="s">
        <v>186</v>
      </c>
      <c r="E97" s="61">
        <v>1</v>
      </c>
      <c r="F97" s="61">
        <v>0.9</v>
      </c>
      <c r="G97" s="61">
        <v>0.8</v>
      </c>
      <c r="H97" s="61">
        <v>0.7</v>
      </c>
      <c r="I97" s="62">
        <v>0.6</v>
      </c>
    </row>
    <row r="98" spans="1:10" ht="14.25" customHeight="1">
      <c r="A98" s="855"/>
      <c r="B98" s="872"/>
      <c r="C98" s="840"/>
      <c r="D98" s="35" t="s">
        <v>209</v>
      </c>
      <c r="E98" s="63">
        <v>5</v>
      </c>
      <c r="F98" s="63">
        <v>4</v>
      </c>
      <c r="G98" s="63">
        <v>3</v>
      </c>
      <c r="H98" s="63">
        <v>2</v>
      </c>
      <c r="I98" s="64">
        <v>1</v>
      </c>
    </row>
    <row r="99" spans="1:10" ht="14.25" customHeight="1">
      <c r="A99" s="855"/>
      <c r="B99" s="872"/>
      <c r="C99" s="840"/>
      <c r="D99" s="35" t="s">
        <v>210</v>
      </c>
      <c r="E99" s="63">
        <v>20</v>
      </c>
      <c r="F99" s="63">
        <v>18</v>
      </c>
      <c r="G99" s="63">
        <v>16</v>
      </c>
      <c r="H99" s="65">
        <v>14</v>
      </c>
      <c r="I99" s="66">
        <v>12</v>
      </c>
      <c r="J99" s="384"/>
    </row>
    <row r="100" spans="1:10" ht="14.25" customHeight="1">
      <c r="A100" s="855"/>
      <c r="B100" s="847"/>
      <c r="C100" s="841"/>
      <c r="D100" s="831" t="s">
        <v>187</v>
      </c>
      <c r="E100" s="832"/>
      <c r="F100" s="832"/>
      <c r="G100" s="832"/>
      <c r="H100" s="832"/>
      <c r="I100" s="832"/>
    </row>
    <row r="101" spans="1:10" ht="14.25" customHeight="1">
      <c r="A101" s="870" t="s">
        <v>134</v>
      </c>
      <c r="B101" s="443" t="s">
        <v>90</v>
      </c>
      <c r="C101" s="444">
        <v>4</v>
      </c>
      <c r="D101" s="445" t="s">
        <v>337</v>
      </c>
      <c r="E101" s="446">
        <f>$C$101*1</f>
        <v>4</v>
      </c>
      <c r="F101" s="863" t="s">
        <v>335</v>
      </c>
      <c r="G101" s="864"/>
      <c r="H101" s="864"/>
      <c r="I101" s="864"/>
    </row>
    <row r="102" spans="1:10" ht="14.25" customHeight="1">
      <c r="A102" s="873"/>
      <c r="B102" s="846" t="s">
        <v>336</v>
      </c>
      <c r="C102" s="839">
        <v>6</v>
      </c>
      <c r="D102" s="50" t="str">
        <f>D60</f>
        <v>도시계획</v>
      </c>
      <c r="E102" s="47">
        <f>$C$102*D3</f>
        <v>1.7999999999999998</v>
      </c>
      <c r="F102" s="865"/>
      <c r="G102" s="866"/>
      <c r="H102" s="866"/>
      <c r="I102" s="866"/>
    </row>
    <row r="103" spans="1:10" ht="14.25" customHeight="1">
      <c r="A103" s="873"/>
      <c r="B103" s="872"/>
      <c r="C103" s="840"/>
      <c r="D103" s="50" t="str">
        <f>D61</f>
        <v>토질지질</v>
      </c>
      <c r="E103" s="47">
        <f>$C$102*D4</f>
        <v>0.60000000000000009</v>
      </c>
      <c r="F103" s="861" t="s">
        <v>621</v>
      </c>
      <c r="G103" s="862"/>
      <c r="H103" s="862"/>
      <c r="I103" s="862"/>
    </row>
    <row r="104" spans="1:10" ht="14.25" customHeight="1">
      <c r="A104" s="873"/>
      <c r="B104" s="872"/>
      <c r="C104" s="840"/>
      <c r="D104" s="50" t="str">
        <f>D62</f>
        <v>도로공항</v>
      </c>
      <c r="E104" s="47">
        <f>$C$102*D5</f>
        <v>1.5</v>
      </c>
      <c r="F104" s="861"/>
      <c r="G104" s="862"/>
      <c r="H104" s="862"/>
      <c r="I104" s="862"/>
    </row>
    <row r="105" spans="1:10" ht="14.25" customHeight="1">
      <c r="A105" s="873"/>
      <c r="B105" s="872"/>
      <c r="C105" s="840"/>
      <c r="D105" s="50" t="str">
        <f>D63</f>
        <v>토목구조</v>
      </c>
      <c r="E105" s="47">
        <f>$C$102*D6</f>
        <v>0.60000000000000009</v>
      </c>
      <c r="F105" s="861"/>
      <c r="G105" s="862"/>
      <c r="H105" s="862"/>
      <c r="I105" s="862"/>
    </row>
    <row r="106" spans="1:10" ht="14.25" customHeight="1">
      <c r="A106" s="871"/>
      <c r="B106" s="847"/>
      <c r="C106" s="841"/>
      <c r="D106" s="50" t="str">
        <f>D64</f>
        <v>상하수도</v>
      </c>
      <c r="E106" s="47">
        <f>$C$102*D7</f>
        <v>1.5</v>
      </c>
      <c r="F106" s="861"/>
      <c r="G106" s="862"/>
      <c r="H106" s="862"/>
      <c r="I106" s="862"/>
    </row>
    <row r="107" spans="1:10" ht="14.25" customHeight="1">
      <c r="A107" s="870" t="s">
        <v>135</v>
      </c>
      <c r="B107" s="846" t="s">
        <v>345</v>
      </c>
      <c r="C107" s="836"/>
      <c r="D107" s="30" t="s">
        <v>346</v>
      </c>
      <c r="E107" s="30" t="s">
        <v>347</v>
      </c>
      <c r="F107" s="443"/>
      <c r="G107" s="443"/>
      <c r="H107" s="443"/>
      <c r="I107" s="443"/>
    </row>
    <row r="108" spans="1:10" ht="14.25" customHeight="1">
      <c r="A108" s="871"/>
      <c r="B108" s="847"/>
      <c r="C108" s="836"/>
      <c r="D108" s="454" t="s">
        <v>348</v>
      </c>
      <c r="E108" s="455" t="s">
        <v>399</v>
      </c>
      <c r="F108" s="452"/>
      <c r="G108" s="452"/>
      <c r="H108" s="452"/>
      <c r="I108" s="452"/>
    </row>
    <row r="109" spans="1:10" ht="14.25" customHeight="1">
      <c r="A109" s="868" t="s">
        <v>100</v>
      </c>
      <c r="B109" s="869"/>
      <c r="C109" s="51">
        <f>SUM(C11:C106)</f>
        <v>100</v>
      </c>
      <c r="D109" s="67"/>
      <c r="E109" s="67"/>
      <c r="F109" s="67"/>
      <c r="G109" s="67"/>
      <c r="H109" s="67"/>
      <c r="I109" s="68"/>
    </row>
    <row r="110" spans="1:10" ht="18.75" customHeight="1">
      <c r="A110" s="69"/>
      <c r="B110" s="69"/>
      <c r="C110" s="70"/>
      <c r="D110" s="69"/>
      <c r="E110" s="69"/>
      <c r="F110" s="69"/>
      <c r="G110" s="69"/>
      <c r="H110" s="69"/>
      <c r="I110" s="69"/>
    </row>
    <row r="111" spans="1:10" s="12" customFormat="1" ht="19.5" customHeight="1">
      <c r="A111" s="69"/>
      <c r="B111" s="69"/>
      <c r="C111" s="70"/>
      <c r="D111" s="69"/>
      <c r="E111" s="69"/>
      <c r="F111" s="69"/>
      <c r="G111" s="69"/>
      <c r="H111" s="69"/>
      <c r="I111" s="69"/>
    </row>
    <row r="112" spans="1:10" s="12" customFormat="1">
      <c r="A112" s="69"/>
      <c r="B112" s="69"/>
      <c r="C112" s="70"/>
      <c r="D112" s="69"/>
      <c r="E112" s="69"/>
      <c r="F112" s="69"/>
      <c r="G112" s="69"/>
      <c r="H112" s="69"/>
      <c r="I112" s="69"/>
    </row>
    <row r="113" spans="1:9" s="12" customFormat="1">
      <c r="A113" s="69"/>
      <c r="B113" s="69"/>
      <c r="C113" s="70"/>
      <c r="D113" s="69"/>
      <c r="E113" s="69"/>
      <c r="F113" s="69"/>
      <c r="G113" s="69"/>
      <c r="H113" s="69"/>
      <c r="I113" s="69"/>
    </row>
    <row r="114" spans="1:9" s="12" customFormat="1">
      <c r="A114" s="69"/>
      <c r="B114" s="69"/>
      <c r="C114" s="70"/>
      <c r="D114" s="69"/>
      <c r="E114" s="69"/>
      <c r="F114" s="69"/>
      <c r="G114" s="69"/>
      <c r="H114" s="69"/>
      <c r="I114" s="69"/>
    </row>
    <row r="115" spans="1:9" s="12" customFormat="1">
      <c r="A115" s="69"/>
      <c r="B115" s="69"/>
      <c r="C115" s="70"/>
      <c r="D115" s="69"/>
      <c r="E115" s="69"/>
      <c r="F115" s="69"/>
      <c r="G115" s="69"/>
      <c r="H115" s="69"/>
      <c r="I115" s="69"/>
    </row>
    <row r="116" spans="1:9" s="12" customFormat="1">
      <c r="A116" s="69"/>
      <c r="B116" s="69"/>
      <c r="C116" s="70"/>
      <c r="D116" s="69"/>
      <c r="E116" s="69"/>
      <c r="F116" s="69"/>
      <c r="G116" s="69"/>
      <c r="H116" s="69"/>
      <c r="I116" s="69"/>
    </row>
    <row r="117" spans="1:9" s="12" customFormat="1">
      <c r="A117" s="69"/>
      <c r="B117" s="69"/>
      <c r="C117" s="70"/>
      <c r="D117" s="69"/>
      <c r="E117" s="69"/>
      <c r="F117" s="69"/>
      <c r="G117" s="69"/>
      <c r="H117" s="69"/>
      <c r="I117" s="69"/>
    </row>
    <row r="118" spans="1:9" s="12" customFormat="1">
      <c r="A118" s="69"/>
      <c r="B118" s="69"/>
      <c r="C118" s="70"/>
      <c r="D118" s="69"/>
      <c r="E118" s="69"/>
      <c r="F118" s="69"/>
      <c r="G118" s="69"/>
      <c r="H118" s="69"/>
      <c r="I118" s="69"/>
    </row>
    <row r="119" spans="1:9" s="12" customFormat="1">
      <c r="A119" s="69"/>
      <c r="B119" s="69"/>
      <c r="C119" s="70"/>
      <c r="D119" s="69"/>
      <c r="E119" s="69"/>
      <c r="F119" s="69"/>
      <c r="G119" s="69"/>
      <c r="H119" s="69"/>
      <c r="I119" s="69"/>
    </row>
    <row r="120" spans="1:9" s="12" customFormat="1">
      <c r="A120" s="69"/>
      <c r="B120" s="69"/>
      <c r="C120" s="70"/>
      <c r="D120" s="69"/>
      <c r="E120" s="69"/>
      <c r="F120" s="69"/>
      <c r="G120" s="69"/>
      <c r="H120" s="69"/>
      <c r="I120" s="69"/>
    </row>
    <row r="121" spans="1:9" s="12" customFormat="1">
      <c r="A121" s="69"/>
      <c r="B121" s="69"/>
      <c r="C121" s="70"/>
      <c r="D121" s="69"/>
      <c r="E121" s="69"/>
      <c r="F121" s="69"/>
      <c r="G121" s="69"/>
      <c r="H121" s="69"/>
      <c r="I121" s="69"/>
    </row>
    <row r="122" spans="1:9" s="12" customFormat="1">
      <c r="A122" s="69"/>
      <c r="B122" s="69"/>
      <c r="C122" s="70"/>
      <c r="D122" s="69"/>
      <c r="E122" s="69"/>
      <c r="F122" s="69"/>
      <c r="G122" s="69"/>
      <c r="H122" s="69"/>
      <c r="I122" s="69"/>
    </row>
    <row r="123" spans="1:9" s="12" customFormat="1">
      <c r="A123" s="69"/>
      <c r="B123" s="69"/>
      <c r="C123" s="70"/>
      <c r="D123" s="69"/>
      <c r="E123" s="69"/>
      <c r="F123" s="69"/>
      <c r="G123" s="69"/>
      <c r="H123" s="69"/>
      <c r="I123" s="69"/>
    </row>
    <row r="124" spans="1:9" s="12" customFormat="1">
      <c r="A124" s="69"/>
      <c r="B124" s="69"/>
      <c r="C124" s="70"/>
      <c r="D124" s="69"/>
      <c r="E124" s="69"/>
      <c r="F124" s="69"/>
      <c r="G124" s="69"/>
      <c r="H124" s="69"/>
      <c r="I124" s="69"/>
    </row>
    <row r="125" spans="1:9" s="12" customFormat="1">
      <c r="A125" s="69"/>
      <c r="B125" s="69"/>
      <c r="C125" s="70"/>
      <c r="D125" s="69"/>
      <c r="E125" s="69"/>
      <c r="F125" s="69"/>
      <c r="G125" s="69"/>
      <c r="H125" s="69"/>
      <c r="I125" s="69"/>
    </row>
    <row r="126" spans="1:9" s="12" customFormat="1">
      <c r="A126" s="69"/>
      <c r="B126" s="69"/>
      <c r="C126" s="70"/>
      <c r="D126" s="69"/>
      <c r="E126" s="69"/>
      <c r="F126" s="69"/>
      <c r="G126" s="69"/>
      <c r="H126" s="69"/>
      <c r="I126" s="69"/>
    </row>
    <row r="127" spans="1:9" s="12" customFormat="1">
      <c r="A127" s="69"/>
      <c r="B127" s="69"/>
      <c r="C127" s="70"/>
      <c r="D127" s="69"/>
      <c r="E127" s="69"/>
      <c r="F127" s="69"/>
      <c r="G127" s="69"/>
      <c r="H127" s="69"/>
      <c r="I127" s="69"/>
    </row>
    <row r="128" spans="1:9" s="12" customFormat="1">
      <c r="A128" s="69"/>
      <c r="B128" s="69"/>
      <c r="C128" s="70"/>
      <c r="D128" s="69"/>
      <c r="E128" s="69"/>
      <c r="F128" s="69"/>
      <c r="G128" s="69"/>
      <c r="H128" s="69"/>
      <c r="I128" s="69"/>
    </row>
    <row r="129" spans="1:9" s="12" customFormat="1">
      <c r="A129" s="69"/>
      <c r="B129" s="69"/>
      <c r="C129" s="70"/>
      <c r="D129" s="69"/>
      <c r="E129" s="69"/>
      <c r="F129" s="69"/>
      <c r="G129" s="69"/>
      <c r="H129" s="69"/>
      <c r="I129" s="69"/>
    </row>
    <row r="130" spans="1:9" s="12" customFormat="1">
      <c r="A130" s="69"/>
      <c r="B130" s="69"/>
      <c r="C130" s="70"/>
      <c r="D130" s="69"/>
      <c r="E130" s="69"/>
      <c r="F130" s="69"/>
      <c r="G130" s="69"/>
      <c r="H130" s="69"/>
      <c r="I130" s="69"/>
    </row>
    <row r="131" spans="1:9" s="12" customFormat="1">
      <c r="A131" s="69"/>
      <c r="B131" s="69"/>
      <c r="C131" s="70"/>
      <c r="D131" s="69"/>
      <c r="E131" s="69"/>
      <c r="F131" s="69"/>
      <c r="G131" s="69"/>
      <c r="H131" s="69"/>
      <c r="I131" s="69"/>
    </row>
    <row r="132" spans="1:9" s="12" customFormat="1">
      <c r="A132" s="69"/>
      <c r="B132" s="69"/>
      <c r="C132" s="70"/>
      <c r="D132" s="69"/>
      <c r="E132" s="69"/>
      <c r="F132" s="69"/>
      <c r="G132" s="69"/>
      <c r="H132" s="69"/>
      <c r="I132" s="69"/>
    </row>
    <row r="133" spans="1:9" s="12" customFormat="1">
      <c r="A133" s="27"/>
      <c r="B133" s="27"/>
      <c r="C133" s="71"/>
      <c r="D133" s="27"/>
      <c r="E133" s="27"/>
      <c r="F133" s="27"/>
      <c r="G133" s="27"/>
      <c r="H133" s="27"/>
      <c r="I133" s="27"/>
    </row>
  </sheetData>
  <sheetProtection selectLockedCells="1"/>
  <mergeCells count="74">
    <mergeCell ref="A24:A30"/>
    <mergeCell ref="A17:A23"/>
    <mergeCell ref="B17:B23"/>
    <mergeCell ref="B24:B30"/>
    <mergeCell ref="A31:A36"/>
    <mergeCell ref="B35:B36"/>
    <mergeCell ref="B31:B32"/>
    <mergeCell ref="B33:B34"/>
    <mergeCell ref="A37:A50"/>
    <mergeCell ref="A65:A66"/>
    <mergeCell ref="B37:B43"/>
    <mergeCell ref="B51:B57"/>
    <mergeCell ref="B71:B72"/>
    <mergeCell ref="A67:A74"/>
    <mergeCell ref="B67:B70"/>
    <mergeCell ref="B65:B66"/>
    <mergeCell ref="B58:B64"/>
    <mergeCell ref="B73:B74"/>
    <mergeCell ref="B44:B50"/>
    <mergeCell ref="B90:B91"/>
    <mergeCell ref="A109:B109"/>
    <mergeCell ref="B79:B80"/>
    <mergeCell ref="B107:B108"/>
    <mergeCell ref="A107:A108"/>
    <mergeCell ref="B81:B84"/>
    <mergeCell ref="B85:B89"/>
    <mergeCell ref="A75:A84"/>
    <mergeCell ref="A85:A100"/>
    <mergeCell ref="B77:B78"/>
    <mergeCell ref="B102:B106"/>
    <mergeCell ref="A101:A106"/>
    <mergeCell ref="B92:B100"/>
    <mergeCell ref="B75:B76"/>
    <mergeCell ref="F106:I106"/>
    <mergeCell ref="F101:I102"/>
    <mergeCell ref="F105:I105"/>
    <mergeCell ref="F104:I104"/>
    <mergeCell ref="F103:I103"/>
    <mergeCell ref="C107:C108"/>
    <mergeCell ref="C102:C106"/>
    <mergeCell ref="C71:C72"/>
    <mergeCell ref="C85:C89"/>
    <mergeCell ref="C81:C84"/>
    <mergeCell ref="C75:C80"/>
    <mergeCell ref="C73:C74"/>
    <mergeCell ref="C90:C91"/>
    <mergeCell ref="A1:D1"/>
    <mergeCell ref="B13:B14"/>
    <mergeCell ref="A3:A9"/>
    <mergeCell ref="F1:G1"/>
    <mergeCell ref="A11:A16"/>
    <mergeCell ref="B11:B12"/>
    <mergeCell ref="C11:C12"/>
    <mergeCell ref="B15:B16"/>
    <mergeCell ref="C13:C14"/>
    <mergeCell ref="B9:C9"/>
    <mergeCell ref="F2:G2"/>
    <mergeCell ref="C15:C16"/>
    <mergeCell ref="D100:I100"/>
    <mergeCell ref="E3:E9"/>
    <mergeCell ref="C35:C36"/>
    <mergeCell ref="D69:D70"/>
    <mergeCell ref="C51:C57"/>
    <mergeCell ref="C31:C32"/>
    <mergeCell ref="C65:C66"/>
    <mergeCell ref="C67:C70"/>
    <mergeCell ref="C58:C64"/>
    <mergeCell ref="C92:C100"/>
    <mergeCell ref="C17:C23"/>
    <mergeCell ref="G35:G36"/>
    <mergeCell ref="C37:C43"/>
    <mergeCell ref="C24:C30"/>
    <mergeCell ref="C44:C50"/>
    <mergeCell ref="C33:C34"/>
  </mergeCells>
  <phoneticPr fontId="2" type="noConversion"/>
  <printOptions horizontalCentered="1"/>
  <pageMargins left="0.74803149606299213" right="0.74803149606299213" top="0.6692913385826772" bottom="0.31496062992125984" header="0.51181102362204722" footer="0.51181102362204722"/>
  <pageSetup paperSize="9" scale="64" fitToHeight="2" orientation="landscape" horizontalDpi="300" verticalDpi="300" r:id="rId1"/>
  <headerFooter alignWithMargins="0"/>
  <rowBreaks count="1" manualBreakCount="1">
    <brk id="50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 enableFormatConditionsCalculation="0">
    <tabColor indexed="10"/>
    <pageSetUpPr fitToPage="1"/>
  </sheetPr>
  <dimension ref="A1:O37"/>
  <sheetViews>
    <sheetView view="pageBreakPreview" zoomScale="85" zoomScaleSheetLayoutView="55" workbookViewId="0">
      <selection activeCell="J28" sqref="J28:J29"/>
    </sheetView>
  </sheetViews>
  <sheetFormatPr defaultRowHeight="17.100000000000001" customHeight="1"/>
  <cols>
    <col min="1" max="1" width="1.6640625" style="77" customWidth="1"/>
    <col min="2" max="2" width="2.21875" style="77" customWidth="1"/>
    <col min="3" max="3" width="19.77734375" style="77" customWidth="1"/>
    <col min="4" max="4" width="15.77734375" style="77" customWidth="1"/>
    <col min="5" max="5" width="9.33203125" style="77" customWidth="1"/>
    <col min="6" max="7" width="9.5546875" style="77" bestFit="1" customWidth="1"/>
    <col min="8" max="9" width="9.21875" style="77" customWidth="1"/>
    <col min="10" max="10" width="8.88671875" style="77" bestFit="1"/>
    <col min="11" max="11" width="5.88671875" style="3" customWidth="1"/>
    <col min="12" max="12" width="5.6640625" style="3" customWidth="1"/>
    <col min="13" max="13" width="10.77734375" style="3" customWidth="1"/>
    <col min="14" max="14" width="9.6640625" style="3" customWidth="1"/>
    <col min="15" max="15" width="9.77734375" style="3" customWidth="1"/>
    <col min="16" max="16" width="3.6640625" style="3" bestFit="1" customWidth="1"/>
    <col min="17" max="21" width="3.21875" style="3" bestFit="1" customWidth="1"/>
    <col min="22" max="25" width="3.33203125" style="3" bestFit="1" customWidth="1"/>
    <col min="26" max="45" width="4.44140625" style="3" bestFit="1" customWidth="1"/>
    <col min="46" max="46" width="4.33203125" style="3" bestFit="1" customWidth="1"/>
    <col min="47" max="16384" width="8.88671875" style="3"/>
  </cols>
  <sheetData>
    <row r="1" spans="1:11" s="8" customFormat="1" ht="24" customHeight="1">
      <c r="A1" s="78" t="s">
        <v>217</v>
      </c>
      <c r="B1" s="78"/>
      <c r="C1" s="79"/>
      <c r="D1" s="79"/>
      <c r="E1" s="79"/>
      <c r="F1" s="79"/>
      <c r="G1" s="79"/>
      <c r="H1" s="79"/>
      <c r="I1" s="79"/>
      <c r="J1" s="79"/>
    </row>
    <row r="2" spans="1:11" s="9" customFormat="1" ht="24" customHeight="1">
      <c r="A2" s="80"/>
      <c r="B2" s="113" t="s">
        <v>623</v>
      </c>
      <c r="C2" s="114"/>
      <c r="D2" s="114"/>
      <c r="E2" s="114"/>
      <c r="F2" s="114"/>
      <c r="G2" s="114"/>
      <c r="H2" s="114"/>
      <c r="I2" s="114"/>
      <c r="J2" s="114"/>
    </row>
    <row r="3" spans="1:11" ht="3" customHeight="1">
      <c r="A3" s="74"/>
      <c r="B3" s="114"/>
      <c r="C3" s="114"/>
      <c r="D3" s="114"/>
      <c r="E3" s="114"/>
      <c r="F3" s="114"/>
      <c r="G3" s="114"/>
      <c r="H3" s="114"/>
      <c r="I3" s="114"/>
      <c r="J3" s="114"/>
    </row>
    <row r="4" spans="1:11" ht="17.25" customHeight="1">
      <c r="A4" s="74"/>
      <c r="B4" s="114"/>
      <c r="C4" s="464" t="s">
        <v>350</v>
      </c>
      <c r="D4" s="464" t="s">
        <v>351</v>
      </c>
      <c r="E4" s="464" t="s">
        <v>352</v>
      </c>
      <c r="F4" s="457" t="s">
        <v>353</v>
      </c>
      <c r="G4" s="464" t="s">
        <v>354</v>
      </c>
      <c r="H4" s="74"/>
      <c r="I4" s="74"/>
      <c r="J4" s="74"/>
    </row>
    <row r="5" spans="1:11" ht="17.25" customHeight="1">
      <c r="A5" s="74"/>
      <c r="B5" s="114"/>
      <c r="C5" s="875" t="s">
        <v>355</v>
      </c>
      <c r="D5" s="465" t="s">
        <v>352</v>
      </c>
      <c r="E5" s="466" t="s">
        <v>356</v>
      </c>
      <c r="F5" s="467">
        <v>1</v>
      </c>
      <c r="G5" s="468">
        <f>IF(E5=배점기준!E11,배점기준!$E$12,IF(E5=배점기준!F11,배점기준!$F$12,IF(E5=배점기준!G11,배점기준!$G$12,0)))*F5</f>
        <v>4</v>
      </c>
      <c r="H5" s="74"/>
      <c r="I5" s="74"/>
      <c r="J5" s="74"/>
    </row>
    <row r="6" spans="1:11" ht="17.25" customHeight="1">
      <c r="A6" s="74"/>
      <c r="B6" s="114"/>
      <c r="C6" s="876"/>
      <c r="D6" s="469" t="s">
        <v>357</v>
      </c>
      <c r="E6" s="470">
        <v>0</v>
      </c>
      <c r="F6" s="471"/>
      <c r="G6" s="468">
        <f>E6</f>
        <v>0</v>
      </c>
      <c r="H6" s="74"/>
      <c r="I6" s="74"/>
      <c r="J6" s="74"/>
    </row>
    <row r="7" spans="1:11" ht="17.25" customHeight="1">
      <c r="A7" s="74"/>
      <c r="B7" s="114"/>
      <c r="C7" s="877"/>
      <c r="D7" s="472" t="s">
        <v>358</v>
      </c>
      <c r="E7" s="473">
        <v>0</v>
      </c>
      <c r="F7" s="471"/>
      <c r="G7" s="474">
        <f>E7</f>
        <v>0</v>
      </c>
      <c r="H7" s="74"/>
      <c r="I7" s="74"/>
      <c r="J7" s="74"/>
    </row>
    <row r="8" spans="1:11" ht="17.25" customHeight="1">
      <c r="A8" s="74"/>
      <c r="B8" s="114"/>
      <c r="C8" s="885" t="s">
        <v>359</v>
      </c>
      <c r="D8" s="453" t="s">
        <v>351</v>
      </c>
      <c r="E8" s="581" t="str">
        <f>배점기준!D19</f>
        <v>도시계획</v>
      </c>
      <c r="F8" s="590" t="str">
        <f>배점기준!D20</f>
        <v>토질지질</v>
      </c>
      <c r="G8" s="590" t="str">
        <f>배점기준!D21</f>
        <v>도로공항</v>
      </c>
      <c r="H8" s="590" t="str">
        <f>배점기준!D22</f>
        <v>토목구조</v>
      </c>
      <c r="I8" s="590" t="str">
        <f>배점기준!D23</f>
        <v>상하수도</v>
      </c>
      <c r="J8" s="464" t="s">
        <v>354</v>
      </c>
    </row>
    <row r="9" spans="1:11" ht="17.25" customHeight="1">
      <c r="A9" s="74"/>
      <c r="B9" s="114"/>
      <c r="C9" s="878"/>
      <c r="D9" s="475" t="s">
        <v>353</v>
      </c>
      <c r="E9" s="476">
        <v>1</v>
      </c>
      <c r="F9" s="477">
        <v>1</v>
      </c>
      <c r="G9" s="477">
        <v>1</v>
      </c>
      <c r="H9" s="477">
        <v>1</v>
      </c>
      <c r="I9" s="477">
        <v>1</v>
      </c>
      <c r="J9" s="882">
        <f>SUM(E11:I11)</f>
        <v>5</v>
      </c>
    </row>
    <row r="10" spans="1:11" ht="17.25" customHeight="1">
      <c r="A10" s="74"/>
      <c r="B10" s="114"/>
      <c r="C10" s="878"/>
      <c r="D10" s="465" t="s">
        <v>352</v>
      </c>
      <c r="E10" s="478" t="s">
        <v>689</v>
      </c>
      <c r="F10" s="479" t="s">
        <v>688</v>
      </c>
      <c r="G10" s="479" t="s">
        <v>752</v>
      </c>
      <c r="H10" s="479" t="s">
        <v>687</v>
      </c>
      <c r="I10" s="479" t="s">
        <v>688</v>
      </c>
      <c r="J10" s="882"/>
    </row>
    <row r="11" spans="1:11" ht="17.25" customHeight="1">
      <c r="A11" s="74"/>
      <c r="B11" s="114"/>
      <c r="C11" s="879"/>
      <c r="D11" s="480" t="s">
        <v>360</v>
      </c>
      <c r="E11" s="481">
        <f>IF(E10="특급",배점기준!$E$19,IF(E10="고급",배점기준!$F$19,IF(E10="중급",배점기준!$G$19,0)))*E9</f>
        <v>1.5</v>
      </c>
      <c r="F11" s="481">
        <f>IF(F10="특급",배점기준!$E$20,IF(F10="고급",배점기준!$F$20,IF(F10="중급",배점기준!$G$20,0)))*F9</f>
        <v>0.5</v>
      </c>
      <c r="G11" s="481">
        <f>IF(G10="특급",배점기준!$E$21,IF(G10="고급",배점기준!$F$21,IF(G10="중급",배점기준!$G$21,0)))*G9</f>
        <v>1.25</v>
      </c>
      <c r="H11" s="481">
        <f>IF(H10="특급",배점기준!$E$22,IF(H10="고급",배점기준!$F$22,IF(H10="중급",배점기준!$G$22,0)))*H9</f>
        <v>0.5</v>
      </c>
      <c r="I11" s="481">
        <f>IF(I10="특급",배점기준!$E$23,IF(I10="고급",배점기준!$F$23,IF(I10="중급",배점기준!$G$23,0)))*I9</f>
        <v>1.25</v>
      </c>
      <c r="J11" s="883"/>
    </row>
    <row r="12" spans="1:11" ht="17.25" customHeight="1">
      <c r="A12" s="74"/>
      <c r="B12" s="114"/>
      <c r="C12" s="875" t="s">
        <v>361</v>
      </c>
      <c r="D12" s="482" t="s">
        <v>353</v>
      </c>
      <c r="E12" s="483">
        <v>1</v>
      </c>
      <c r="F12" s="484">
        <v>1</v>
      </c>
      <c r="G12" s="484">
        <v>1</v>
      </c>
      <c r="H12" s="484">
        <v>1</v>
      </c>
      <c r="I12" s="484">
        <v>1</v>
      </c>
      <c r="J12" s="884">
        <f>SUM(E14:I14)</f>
        <v>2</v>
      </c>
    </row>
    <row r="13" spans="1:11" ht="17.25" customHeight="1">
      <c r="B13" s="115"/>
      <c r="C13" s="876"/>
      <c r="D13" s="465" t="s">
        <v>352</v>
      </c>
      <c r="E13" s="478" t="s">
        <v>753</v>
      </c>
      <c r="F13" s="479" t="s">
        <v>753</v>
      </c>
      <c r="G13" s="479" t="s">
        <v>688</v>
      </c>
      <c r="H13" s="479" t="s">
        <v>753</v>
      </c>
      <c r="I13" s="479" t="s">
        <v>688</v>
      </c>
      <c r="J13" s="882"/>
      <c r="K13" s="9"/>
    </row>
    <row r="14" spans="1:11" ht="17.25" customHeight="1">
      <c r="B14" s="114"/>
      <c r="C14" s="877"/>
      <c r="D14" s="485" t="s">
        <v>360</v>
      </c>
      <c r="E14" s="486">
        <f>IF(E13="특급",배점기준!$E$26,IF(E13="고급",배점기준!$F$26,IF(E13="중급",배점기준!$G$26,0)))*E12</f>
        <v>0.6</v>
      </c>
      <c r="F14" s="487">
        <f>IF(F13="특급",배점기준!$E$27,IF(F13="고급",배점기준!$F$27,IF(F13="중급",배점기준!$G$27,0)))*F12</f>
        <v>0.2</v>
      </c>
      <c r="G14" s="487">
        <f>IF(G13="특급",배점기준!$E$28,IF(G13="고급",배점기준!$F$28,IF(G13="중급",배점기준!$G$28,0)))*G12</f>
        <v>0.5</v>
      </c>
      <c r="H14" s="487">
        <f>IF(H13="특급",배점기준!$E$29,IF(H13="고급",배점기준!$F$29,IF(H13="중급",배점기준!$G$29,0)))*H12</f>
        <v>0.2</v>
      </c>
      <c r="I14" s="487">
        <f>IF(I13="특급",배점기준!$E$30,IF(I13="고급",배점기준!$F$30,IF(I13="중급",배점기준!$G$30,0)))*I12</f>
        <v>0.5</v>
      </c>
      <c r="J14" s="883"/>
    </row>
    <row r="15" spans="1:11" ht="16.5" customHeight="1">
      <c r="B15" s="116"/>
      <c r="C15" s="6"/>
      <c r="D15" s="74"/>
      <c r="E15" s="74"/>
      <c r="F15" s="74"/>
      <c r="G15" s="74"/>
      <c r="H15" s="74"/>
      <c r="I15" s="74"/>
      <c r="J15" s="74"/>
      <c r="K15" s="7"/>
    </row>
    <row r="16" spans="1:11" ht="16.5" customHeight="1">
      <c r="B16" s="113" t="s">
        <v>624</v>
      </c>
      <c r="C16" s="74"/>
      <c r="D16" s="74"/>
      <c r="E16" s="74"/>
      <c r="F16" s="74"/>
      <c r="G16" s="74"/>
      <c r="H16" s="74"/>
      <c r="I16" s="74"/>
      <c r="J16" s="6"/>
    </row>
    <row r="17" spans="2:15" ht="5.25" customHeight="1">
      <c r="B17" s="114"/>
      <c r="C17" s="107"/>
      <c r="D17" s="74"/>
      <c r="E17" s="74"/>
      <c r="F17" s="74"/>
      <c r="G17" s="74"/>
      <c r="H17" s="74"/>
      <c r="I17" s="74"/>
      <c r="J17" s="74"/>
    </row>
    <row r="18" spans="2:15" ht="17.25" customHeight="1">
      <c r="B18" s="114"/>
      <c r="C18" s="464" t="s">
        <v>350</v>
      </c>
      <c r="D18" s="464" t="s">
        <v>351</v>
      </c>
      <c r="E18" s="464" t="s">
        <v>362</v>
      </c>
      <c r="F18" s="488" t="s">
        <v>354</v>
      </c>
      <c r="G18" s="74"/>
      <c r="H18" s="74"/>
      <c r="I18" s="74"/>
      <c r="J18" s="74"/>
    </row>
    <row r="19" spans="2:15" ht="16.5" customHeight="1">
      <c r="B19" s="114"/>
      <c r="C19" s="875" t="s">
        <v>355</v>
      </c>
      <c r="D19" s="482" t="s">
        <v>363</v>
      </c>
      <c r="E19" s="489">
        <v>33.29</v>
      </c>
      <c r="F19" s="496">
        <f>IF(E19&gt;=배점기준!$E$31,배점기준!$E$32,IF(E19&gt;=배점기준!$F$31,배점기준!$F$32,IF(E19&gt;=배점기준!$G$31,배점기준!$G$32,IF(E19&gt;=배점기준!$H$31,배점기준!$H$32,IF(E19&lt;배점기준!$I$31,배점기준!$I$32)))))*F5</f>
        <v>7</v>
      </c>
      <c r="G19" s="74"/>
      <c r="H19" s="74"/>
      <c r="I19" s="74"/>
      <c r="J19" s="74"/>
    </row>
    <row r="20" spans="2:15" ht="16.5" customHeight="1">
      <c r="B20" s="114"/>
      <c r="C20" s="877"/>
      <c r="D20" s="480" t="s">
        <v>364</v>
      </c>
      <c r="E20" s="628">
        <f>'사업책임기술자(000)'!P35</f>
        <v>0.25</v>
      </c>
      <c r="F20" s="629">
        <f>IF(E20&gt;=배점기준!$E$33,배점기준!$E$34,IF(E20&gt;=배점기준!$F$33,배점기준!$F$34,IF(E20&gt;=배점기준!$G$33,배점기준!$G$34,IF(E20&gt;=배점기준!$H$33,배점기준!$H$34,IF(E20&lt;배점기준!$I$33,배점기준!$I$34)))))*F5</f>
        <v>4.2</v>
      </c>
      <c r="G20" s="74"/>
      <c r="H20" s="74"/>
      <c r="I20" s="74"/>
      <c r="J20" s="74"/>
    </row>
    <row r="21" spans="2:15" ht="16.5" customHeight="1">
      <c r="B21" s="114"/>
      <c r="C21" s="878" t="s">
        <v>359</v>
      </c>
      <c r="D21" s="453" t="s">
        <v>351</v>
      </c>
      <c r="E21" s="581" t="str">
        <f>E8</f>
        <v>도시계획</v>
      </c>
      <c r="F21" s="581" t="str">
        <f>F8</f>
        <v>토질지질</v>
      </c>
      <c r="G21" s="581" t="str">
        <f>G8</f>
        <v>도로공항</v>
      </c>
      <c r="H21" s="581" t="str">
        <f>H8</f>
        <v>토목구조</v>
      </c>
      <c r="I21" s="581" t="str">
        <f>I8</f>
        <v>상하수도</v>
      </c>
      <c r="J21" s="464" t="s">
        <v>354</v>
      </c>
    </row>
    <row r="22" spans="2:15" ht="16.5" customHeight="1">
      <c r="B22" s="114"/>
      <c r="C22" s="878"/>
      <c r="D22" s="482" t="s">
        <v>363</v>
      </c>
      <c r="E22" s="483">
        <v>17.12</v>
      </c>
      <c r="F22" s="484">
        <v>16.489999999999998</v>
      </c>
      <c r="G22" s="484">
        <v>31.46</v>
      </c>
      <c r="H22" s="484">
        <v>21.18</v>
      </c>
      <c r="I22" s="484">
        <v>16.46</v>
      </c>
      <c r="J22" s="880">
        <f>SUM(E23:I23)</f>
        <v>8</v>
      </c>
      <c r="M22" s="114"/>
      <c r="N22" s="114"/>
    </row>
    <row r="23" spans="2:15" ht="16.5" customHeight="1">
      <c r="B23" s="114"/>
      <c r="C23" s="878"/>
      <c r="D23" s="480" t="s">
        <v>360</v>
      </c>
      <c r="E23" s="490">
        <f>IF(E22&gt;=배점기준!$E$37,배점기준!$E$39,IF(E22&gt;=배점기준!$F$37,배점기준!$F$39,IF(E22&gt;=배점기준!$G$37,배점기준!$G$39,IF(E22&gt;=배점기준!$H$37,배점기준!$H$39,IF(E22&lt;배점기준!$I$37,배점기준!$I$39)))))*E9</f>
        <v>2.4</v>
      </c>
      <c r="F23" s="491">
        <f>IF(F22&gt;=배점기준!$E$37,배점기준!$E$40,IF(F22&gt;=배점기준!$F$37,배점기준!$F$40,IF(F22&gt;=배점기준!$G$37,배점기준!$G$40,IF(F22&gt;=배점기준!$H$37,배점기준!$H$40,IF(F22&lt;배점기준!$I$37,배점기준!$I$40)))))*F9</f>
        <v>0.8</v>
      </c>
      <c r="G23" s="491">
        <f>IF(G22&gt;=배점기준!$E$37,배점기준!$E$41,IF(G22&gt;=배점기준!$F$37,배점기준!$F$41,IF(G22&gt;=배점기준!$G$37,배점기준!$G$41,IF(G22&gt;=배점기준!$H$37,배점기준!$H$41,IF(G22&lt;배점기준!$I$37,배점기준!$I$41)))))*G9</f>
        <v>2</v>
      </c>
      <c r="H23" s="491">
        <f>IF(H22&gt;=배점기준!$E$37,배점기준!$E$42,IF(H22&gt;=배점기준!$F$37,배점기준!$F$42,IF(H22&gt;=배점기준!$G$37,배점기준!$G$42,IF(H22&gt;=배점기준!$H$37,배점기준!$H$42,IF(H22&lt;배점기준!$I$37,배점기준!$I$42)))))*H9</f>
        <v>0.8</v>
      </c>
      <c r="I23" s="491">
        <f>IF(I22&gt;=배점기준!$E$37,배점기준!$E$43,IF(I22&gt;=배점기준!$F$37,배점기준!$F$43,IF(I22&gt;=배점기준!$G$37,배점기준!$G$43,IF(I22&gt;=배점기준!$H$37,배점기준!$H$43,IF(I22&lt;배점기준!$I$37,배점기준!$I$43)))))*I9</f>
        <v>2</v>
      </c>
      <c r="J23" s="881"/>
      <c r="O23" s="570"/>
    </row>
    <row r="24" spans="2:15" ht="16.5" customHeight="1">
      <c r="B24" s="114"/>
      <c r="C24" s="878"/>
      <c r="D24" s="482" t="s">
        <v>364</v>
      </c>
      <c r="E24" s="483">
        <f>'도시계획책임(000)'!P9</f>
        <v>3</v>
      </c>
      <c r="F24" s="483">
        <f>'토질지질책임(000)'!P8</f>
        <v>3</v>
      </c>
      <c r="G24" s="483">
        <f>'도로공항책임(000)'!P8</f>
        <v>1.5</v>
      </c>
      <c r="H24" s="483">
        <f>'토목구조책임(000)'!P14</f>
        <v>2</v>
      </c>
      <c r="I24" s="483">
        <f>'상하수도분책(000)'!P9</f>
        <v>2.5</v>
      </c>
      <c r="J24" s="880">
        <f>SUM(E25:I25)</f>
        <v>5.3999999999999995</v>
      </c>
    </row>
    <row r="25" spans="2:15" ht="16.5" customHeight="1">
      <c r="B25" s="115"/>
      <c r="C25" s="879"/>
      <c r="D25" s="480" t="s">
        <v>360</v>
      </c>
      <c r="E25" s="490">
        <f>IF(E24&gt;=배점기준!$E$44,배점기준!$E$46,IF(E24&gt;=배점기준!$F$44,배점기준!$F$46,IF(E24&gt;=배점기준!$G$44,배점기준!$G$46,IF(E24&gt;=배점기준!$H$44,배점기준!$H$46,IF(E24&lt;배점기준!$I$44,배점기준!$I$46)))))*E9</f>
        <v>1.6199999999999999</v>
      </c>
      <c r="F25" s="491">
        <f>IF(F24&gt;=배점기준!$E$44,배점기준!$E$47,IF(F24&gt;=배점기준!$F$44,배점기준!$F$47,IF(F24&gt;=배점기준!$G$44,배점기준!$G$47,IF(F24&gt;=배점기준!$H$44,배점기준!$H$47,IF(F24&lt;배점기준!$I$44,배점기준!$I$47)))))*F9</f>
        <v>0.53999999999999992</v>
      </c>
      <c r="G25" s="491">
        <f>IF(G24&gt;=배점기준!$E$44,배점기준!$E$48,IF(G24&gt;=배점기준!$F$44,배점기준!$F$48,IF(G24&gt;=배점기준!$G$44,배점기준!$G$48,IF(G24&gt;=배점기준!$H$44,배점기준!$H$48,IF(G24&lt;배점기준!$I$44,배점기준!$I$48)))))*G9</f>
        <v>1.3499999999999999</v>
      </c>
      <c r="H25" s="491">
        <f>IF(H24&gt;=배점기준!$E$44,배점기준!$E$49,IF(H24&gt;=배점기준!$F$44,배점기준!$F$49,IF(H24&gt;=배점기준!$G$44,배점기준!$G$49,IF(H24&gt;=배점기준!$H$44,배점기준!$H$49,IF(H24&lt;배점기준!$I$44,배점기준!$I$49)))))*H9</f>
        <v>0.53999999999999992</v>
      </c>
      <c r="I25" s="491">
        <f>IF(I24&gt;=배점기준!$E$44,배점기준!$E$50,IF(I24&gt;=배점기준!$F$44,배점기준!$F$50,IF(I24&gt;=배점기준!$G$44,배점기준!$G$50,IF(I24&gt;=배점기준!$H$44,배점기준!$H$50,IF(I24&lt;배점기준!$I$44,배점기준!$I$50)))))*I9</f>
        <v>1.3499999999999999</v>
      </c>
      <c r="J25" s="881"/>
      <c r="K25" s="9"/>
    </row>
    <row r="26" spans="2:15" ht="16.5" customHeight="1">
      <c r="B26" s="116"/>
      <c r="C26" s="875" t="s">
        <v>361</v>
      </c>
      <c r="D26" s="482" t="s">
        <v>363</v>
      </c>
      <c r="E26" s="483">
        <v>27.77</v>
      </c>
      <c r="F26" s="484">
        <v>28.6</v>
      </c>
      <c r="G26" s="484">
        <v>19.309999999999999</v>
      </c>
      <c r="H26" s="644">
        <v>26.9</v>
      </c>
      <c r="I26" s="484">
        <v>16.100000000000001</v>
      </c>
      <c r="J26" s="884">
        <f>SUM(E27:I27)</f>
        <v>3</v>
      </c>
      <c r="K26" s="7"/>
    </row>
    <row r="27" spans="2:15" ht="16.5" customHeight="1">
      <c r="B27" s="116"/>
      <c r="C27" s="876"/>
      <c r="D27" s="492" t="s">
        <v>360</v>
      </c>
      <c r="E27" s="493">
        <f>IF(E26&gt;=배점기준!$E$51,배점기준!$E$53,IF(E26&gt;=배점기준!$F$51,배점기준!$F$53,IF(E26&gt;=배점기준!$G$51,배점기준!$G$53,IF(E26&gt;=배점기준!$H$51,배점기준!$H$53,배점기준!$I$53))))*E12</f>
        <v>0.89999999999999991</v>
      </c>
      <c r="F27" s="494">
        <f>IF(F26&gt;=배점기준!$E$51,배점기준!$E$54,IF(F26&gt;=배점기준!$F$51,배점기준!$F$54,IF(F26&gt;=배점기준!$G$51,배점기준!$G$54,IF(F26&gt;=배점기준!$H$51,배점기준!$H$54,배점기준!$I$54))))*F12</f>
        <v>0.30000000000000004</v>
      </c>
      <c r="G27" s="494">
        <f>IF(G26&gt;=배점기준!$E$51,배점기준!$E$55,IF(G26&gt;=배점기준!$F$51,배점기준!$F$55,IF(G26&gt;=배점기준!$G$51,배점기준!$G$55,IF(G26&gt;=배점기준!$H$51,배점기준!$H$55,배점기준!$I$55))))*G12</f>
        <v>0.75</v>
      </c>
      <c r="H27" s="494">
        <f>IF(H26&gt;=배점기준!$E$51,배점기준!$E$56,IF(H26&gt;=배점기준!$F$51,배점기준!$F$56,IF(H26&gt;=배점기준!$G$51,배점기준!$G$56,IF(H26&gt;=배점기준!$H$51,배점기준!$H$56,배점기준!$I$56))))*H12</f>
        <v>0.30000000000000004</v>
      </c>
      <c r="I27" s="494">
        <f>IF(I26&gt;=배점기준!$E$51,배점기준!$E$57,IF(I26&gt;=배점기준!$F$51,배점기준!$F$57,IF(I26&gt;=배점기준!$G$51,배점기준!$G$57,IF(I26&gt;=배점기준!$H$51,배점기준!$H$57,배점기준!$I$57))))*I12</f>
        <v>0.75</v>
      </c>
      <c r="J27" s="883"/>
      <c r="K27" s="7"/>
    </row>
    <row r="28" spans="2:15" ht="16.5" customHeight="1">
      <c r="B28" s="114"/>
      <c r="C28" s="876"/>
      <c r="D28" s="482" t="s">
        <v>364</v>
      </c>
      <c r="E28" s="483">
        <f>'도시계획참여(000)'!P12</f>
        <v>5.4735938256486207</v>
      </c>
      <c r="F28" s="483">
        <f>'토질지질참여(000)'!P8</f>
        <v>3</v>
      </c>
      <c r="G28" s="483">
        <f>'도로공항참여(000)'!P8</f>
        <v>2.2109589041095892</v>
      </c>
      <c r="H28" s="483">
        <f>'토목구조참여(000)'!P8</f>
        <v>2.2109589041095892</v>
      </c>
      <c r="I28" s="483">
        <f>'상하수도참여(000)'!P8</f>
        <v>0.5</v>
      </c>
      <c r="J28" s="884">
        <f>SUM(E29:I29)</f>
        <v>2.0999999999999996</v>
      </c>
    </row>
    <row r="29" spans="2:15" ht="16.5" customHeight="1">
      <c r="B29" s="114"/>
      <c r="C29" s="877"/>
      <c r="D29" s="480" t="s">
        <v>360</v>
      </c>
      <c r="E29" s="490">
        <f>IF(E28&gt;=배점기준!$E$58,배점기준!$E$60,IF(E28&gt;=배점기준!$F$58,배점기준!$F$60,IF(E28&gt;=배점기준!$G$58,배점기준!$G$60,IF(E28&gt;=배점기준!$H$58,배점기준!$H$60,IF(E28&lt;배점기준!$I$58,배점기준!$I$60)))))*E12</f>
        <v>0.81</v>
      </c>
      <c r="F29" s="491">
        <f>IF(F28&gt;=배점기준!$E$58,배점기준!$E$61,IF(F28&gt;=배점기준!$F$58,배점기준!$F$61,IF(F28&gt;=배점기준!$G$58,배점기준!$G$61,IF(F28&gt;=배점기준!$H$58,배점기준!$H$61,IF(F28&lt;배점기준!$I$58,배점기준!$I$61)))))*F12</f>
        <v>0.20999999999999996</v>
      </c>
      <c r="G29" s="491">
        <f>IF(G28&gt;=배점기준!$E$58,배점기준!$E$62,IF(G28&gt;=배점기준!$F$58,배점기준!$F$62,IF(G28&gt;=배점기준!$G$58,배점기준!$G$62,IF(G28&gt;=배점기준!$H$58,배점기준!$H$62,IF(G28&lt;배점기준!$I$58,배점기준!$I$62)))))*G12</f>
        <v>0.44999999999999996</v>
      </c>
      <c r="H29" s="491">
        <f>IF(H28&gt;=배점기준!$E$58,배점기준!$E$63,IF(H28&gt;=배점기준!$F$58,배점기준!$F$63,IF(H28&gt;=배점기준!$G$58,배점기준!$G$63,IF(H28&gt;=배점기준!$H$58,배점기준!$H$63,IF(H28&lt;배점기준!$I$58,배점기준!$I$63)))))*H12</f>
        <v>0.18</v>
      </c>
      <c r="I29" s="491">
        <f>IF(I28&gt;=배점기준!$E$58,배점기준!$E$64,IF(I28&gt;=배점기준!$F$58,배점기준!$F$64,IF(I28&gt;=배점기준!$G$58,배점기준!$G$64,IF(I28&gt;=배점기준!$H$58,배점기준!$H$64,IF(I28&lt;배점기준!$I$58,배점기준!$I$64)))))*I12</f>
        <v>0.44999999999999996</v>
      </c>
      <c r="J29" s="883"/>
    </row>
    <row r="30" spans="2:15" ht="16.5" customHeight="1">
      <c r="B30" s="114"/>
      <c r="C30" s="74"/>
      <c r="D30" s="74"/>
      <c r="E30" s="74"/>
      <c r="F30" s="74"/>
      <c r="G30" s="74"/>
      <c r="H30" s="74"/>
      <c r="I30" s="74"/>
      <c r="J30" s="74"/>
    </row>
    <row r="31" spans="2:15" ht="16.5" customHeight="1">
      <c r="B31" s="113" t="s">
        <v>349</v>
      </c>
      <c r="C31" s="74"/>
      <c r="D31" s="74"/>
      <c r="E31" s="74"/>
      <c r="F31" s="74"/>
      <c r="G31" s="74"/>
      <c r="H31" s="74"/>
      <c r="I31" s="74"/>
      <c r="J31" s="6"/>
    </row>
    <row r="32" spans="2:15" ht="4.5" customHeight="1">
      <c r="B32" s="113"/>
      <c r="C32" s="74"/>
      <c r="D32" s="74"/>
      <c r="E32" s="74"/>
      <c r="F32" s="74"/>
      <c r="G32" s="74"/>
      <c r="H32" s="74"/>
      <c r="I32" s="74"/>
      <c r="J32" s="6"/>
    </row>
    <row r="33" spans="2:10" ht="16.5" customHeight="1">
      <c r="B33" s="114"/>
      <c r="C33" s="885" t="s">
        <v>365</v>
      </c>
      <c r="D33" s="461" t="s">
        <v>366</v>
      </c>
      <c r="E33" s="458" t="s">
        <v>367</v>
      </c>
      <c r="F33" s="459" t="s">
        <v>354</v>
      </c>
      <c r="G33" s="74"/>
      <c r="H33" s="74"/>
      <c r="I33" s="74"/>
      <c r="J33" s="74"/>
    </row>
    <row r="34" spans="2:10" ht="16.5" customHeight="1">
      <c r="B34" s="114"/>
      <c r="C34" s="879"/>
      <c r="D34" s="630">
        <v>11</v>
      </c>
      <c r="E34" s="631"/>
      <c r="F34" s="632">
        <f>(D34/배점기준!$E$3+E34/배점기준!$E$3*0.5)</f>
        <v>1</v>
      </c>
      <c r="G34" s="74"/>
      <c r="H34" s="74"/>
      <c r="I34" s="74"/>
      <c r="J34" s="74"/>
    </row>
    <row r="35" spans="2:10" ht="17.25" customHeight="1">
      <c r="B35" s="74"/>
      <c r="C35" s="885" t="s">
        <v>368</v>
      </c>
      <c r="D35" s="461" t="s">
        <v>369</v>
      </c>
      <c r="E35" s="462" t="s">
        <v>370</v>
      </c>
      <c r="F35" s="462" t="s">
        <v>371</v>
      </c>
      <c r="G35" s="462" t="s">
        <v>420</v>
      </c>
      <c r="H35" s="459" t="s">
        <v>354</v>
      </c>
      <c r="I35" s="74"/>
      <c r="J35" s="74"/>
    </row>
    <row r="36" spans="2:10" ht="17.25" customHeight="1">
      <c r="C36" s="879"/>
      <c r="D36" s="460"/>
      <c r="E36" s="463"/>
      <c r="F36" s="463"/>
      <c r="G36" s="463"/>
      <c r="H36" s="495">
        <f>D36*E36*F36*G36</f>
        <v>0</v>
      </c>
      <c r="I36" s="74"/>
      <c r="J36" s="74"/>
    </row>
    <row r="37" spans="2:10" ht="17.25" customHeight="1">
      <c r="C37" s="74"/>
      <c r="D37" s="74"/>
      <c r="E37" s="74"/>
      <c r="F37" s="74"/>
      <c r="G37" s="74"/>
      <c r="H37" s="74"/>
      <c r="I37" s="74"/>
      <c r="J37" s="74"/>
    </row>
  </sheetData>
  <protectedRanges>
    <protectedRange password="CF2F" sqref="E35 E9:I10 E12:I13 I22 E5:F5 E6:E7 E19 G26 I26" name="범위2"/>
    <protectedRange password="CF2F" sqref="E22:F22" name="범위2_1"/>
    <protectedRange password="CF2F" sqref="E26:F26" name="범위2_2"/>
    <protectedRange password="CF2F" sqref="G22:H22" name="범위2_3"/>
    <protectedRange password="CF2F" sqref="H26" name="범위2_4"/>
  </protectedRanges>
  <mergeCells count="14">
    <mergeCell ref="C35:C36"/>
    <mergeCell ref="C33:C34"/>
    <mergeCell ref="C26:C29"/>
    <mergeCell ref="J28:J29"/>
    <mergeCell ref="J26:J27"/>
    <mergeCell ref="C5:C7"/>
    <mergeCell ref="C21:C25"/>
    <mergeCell ref="C19:C20"/>
    <mergeCell ref="J24:J25"/>
    <mergeCell ref="J22:J23"/>
    <mergeCell ref="J9:J11"/>
    <mergeCell ref="J12:J14"/>
    <mergeCell ref="C8:C11"/>
    <mergeCell ref="C12:C14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80" orientation="landscape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10"/>
  </sheetPr>
  <dimension ref="A1:J61"/>
  <sheetViews>
    <sheetView view="pageBreakPreview" zoomScale="70" zoomScaleNormal="85" zoomScaleSheetLayoutView="70" workbookViewId="0">
      <selection activeCell="O10" sqref="O10"/>
    </sheetView>
  </sheetViews>
  <sheetFormatPr defaultRowHeight="13.5"/>
  <cols>
    <col min="1" max="1" width="9.33203125" style="3" customWidth="1"/>
    <col min="2" max="2" width="21.109375" style="77" customWidth="1"/>
    <col min="3" max="3" width="8.88671875" style="77" customWidth="1"/>
    <col min="4" max="4" width="11.88671875" style="77" customWidth="1"/>
    <col min="5" max="5" width="8.77734375" style="77" customWidth="1"/>
    <col min="6" max="6" width="8.44140625" style="77" customWidth="1"/>
    <col min="7" max="9" width="10.33203125" style="76" customWidth="1"/>
    <col min="10" max="16384" width="8.88671875" style="3"/>
  </cols>
  <sheetData>
    <row r="1" spans="1:10" s="5" customFormat="1" ht="28.5" customHeight="1">
      <c r="A1" s="888" t="s">
        <v>629</v>
      </c>
      <c r="B1" s="889"/>
      <c r="C1" s="889"/>
      <c r="D1" s="889"/>
      <c r="E1" s="889"/>
      <c r="F1" s="889"/>
      <c r="G1" s="889"/>
      <c r="H1" s="889"/>
      <c r="I1" s="889"/>
    </row>
    <row r="2" spans="1:10" s="5" customFormat="1" ht="13.5" customHeight="1">
      <c r="B2" s="72"/>
      <c r="C2" s="72"/>
      <c r="D2" s="72"/>
      <c r="E2" s="72"/>
      <c r="F2" s="72"/>
      <c r="G2" s="73"/>
      <c r="H2" s="73"/>
      <c r="I2" s="73"/>
    </row>
    <row r="3" spans="1:10" s="812" customFormat="1" ht="20.100000000000001" customHeight="1">
      <c r="A3" s="823" t="s">
        <v>835</v>
      </c>
      <c r="B3" s="812" t="str">
        <f>참여업체!B2</f>
        <v xml:space="preserve">단지조성 등 설계용역 </v>
      </c>
      <c r="G3" s="813"/>
      <c r="H3" s="813"/>
      <c r="I3" s="813"/>
    </row>
    <row r="4" spans="1:10" s="812" customFormat="1" ht="20.100000000000001" customHeight="1">
      <c r="A4" s="823" t="s">
        <v>836</v>
      </c>
      <c r="B4" s="812" t="str">
        <f>참여업체!C6&amp;", "&amp;참여업체!D6&amp;", "&amp;참여업체!E6&amp;", "&amp;참여업체!F6</f>
        <v xml:space="preserve">oo엔지니어링, ＊＊엔지니어링, ☆☆엔지니어링, </v>
      </c>
      <c r="G4" s="813"/>
      <c r="H4" s="813"/>
      <c r="I4" s="813"/>
    </row>
    <row r="5" spans="1:10" ht="30" customHeight="1">
      <c r="A5" s="923" t="s">
        <v>630</v>
      </c>
      <c r="B5" s="923"/>
      <c r="C5" s="923"/>
      <c r="D5" s="924" t="s">
        <v>631</v>
      </c>
      <c r="E5" s="925"/>
      <c r="F5" s="926"/>
      <c r="G5" s="886" t="s">
        <v>830</v>
      </c>
      <c r="H5" s="886" t="s">
        <v>831</v>
      </c>
      <c r="I5" s="886" t="s">
        <v>832</v>
      </c>
    </row>
    <row r="6" spans="1:10" ht="30" customHeight="1">
      <c r="A6" s="508"/>
      <c r="B6" s="605" t="s">
        <v>632</v>
      </c>
      <c r="C6" s="605" t="s">
        <v>633</v>
      </c>
      <c r="D6" s="927" t="s">
        <v>634</v>
      </c>
      <c r="E6" s="928"/>
      <c r="F6" s="155" t="s">
        <v>635</v>
      </c>
      <c r="G6" s="887"/>
      <c r="H6" s="887"/>
      <c r="I6" s="887"/>
    </row>
    <row r="7" spans="1:10" s="6" customFormat="1" ht="30" customHeight="1">
      <c r="A7" s="892" t="s">
        <v>636</v>
      </c>
      <c r="B7" s="895" t="s">
        <v>637</v>
      </c>
      <c r="C7" s="932">
        <f>SUM(F7:F11)</f>
        <v>13</v>
      </c>
      <c r="D7" s="933" t="s">
        <v>638</v>
      </c>
      <c r="E7" s="501" t="s">
        <v>639</v>
      </c>
      <c r="F7" s="502">
        <f>배점기준!C11</f>
        <v>4</v>
      </c>
      <c r="G7" s="503">
        <f>기술자!G5</f>
        <v>4</v>
      </c>
      <c r="H7" s="503">
        <v>4</v>
      </c>
      <c r="I7" s="503">
        <f>G7-H7</f>
        <v>0</v>
      </c>
    </row>
    <row r="8" spans="1:10" s="6" customFormat="1" ht="30" customHeight="1">
      <c r="A8" s="892"/>
      <c r="B8" s="896"/>
      <c r="C8" s="898"/>
      <c r="D8" s="934"/>
      <c r="E8" s="144" t="s">
        <v>640</v>
      </c>
      <c r="F8" s="152">
        <f>배점기준!C17</f>
        <v>5</v>
      </c>
      <c r="G8" s="153">
        <f>기술자!J9</f>
        <v>5</v>
      </c>
      <c r="H8" s="153">
        <v>5</v>
      </c>
      <c r="I8" s="153">
        <f t="shared" ref="I8:I31" si="0">G8-H8</f>
        <v>0</v>
      </c>
    </row>
    <row r="9" spans="1:10" s="6" customFormat="1" ht="30" customHeight="1">
      <c r="A9" s="892"/>
      <c r="B9" s="896"/>
      <c r="C9" s="898"/>
      <c r="D9" s="908"/>
      <c r="E9" s="144" t="s">
        <v>641</v>
      </c>
      <c r="F9" s="152">
        <f>배점기준!C24</f>
        <v>2</v>
      </c>
      <c r="G9" s="153">
        <f>기술자!J12</f>
        <v>2</v>
      </c>
      <c r="H9" s="153">
        <v>2</v>
      </c>
      <c r="I9" s="153">
        <f t="shared" si="0"/>
        <v>0</v>
      </c>
    </row>
    <row r="10" spans="1:10" s="6" customFormat="1" ht="30" customHeight="1">
      <c r="A10" s="892"/>
      <c r="B10" s="896"/>
      <c r="C10" s="898"/>
      <c r="D10" s="906" t="s">
        <v>642</v>
      </c>
      <c r="E10" s="907"/>
      <c r="F10" s="152">
        <v>1</v>
      </c>
      <c r="G10" s="153">
        <v>1</v>
      </c>
      <c r="H10" s="153">
        <v>1</v>
      </c>
      <c r="I10" s="153">
        <f t="shared" si="0"/>
        <v>0</v>
      </c>
      <c r="J10" s="3"/>
    </row>
    <row r="11" spans="1:10" s="6" customFormat="1" ht="30" customHeight="1">
      <c r="A11" s="892"/>
      <c r="B11" s="936"/>
      <c r="C11" s="937"/>
      <c r="D11" s="906" t="s">
        <v>643</v>
      </c>
      <c r="E11" s="907"/>
      <c r="F11" s="152">
        <v>1</v>
      </c>
      <c r="G11" s="153">
        <v>1</v>
      </c>
      <c r="H11" s="153">
        <v>1</v>
      </c>
      <c r="I11" s="153">
        <f t="shared" si="0"/>
        <v>0</v>
      </c>
      <c r="J11" s="3"/>
    </row>
    <row r="12" spans="1:10" s="6" customFormat="1" ht="30" customHeight="1">
      <c r="A12" s="892"/>
      <c r="B12" s="895" t="s">
        <v>644</v>
      </c>
      <c r="C12" s="932">
        <f>SUM(F12:F19)</f>
        <v>37</v>
      </c>
      <c r="D12" s="933" t="s">
        <v>645</v>
      </c>
      <c r="E12" s="501" t="s">
        <v>639</v>
      </c>
      <c r="F12" s="502">
        <v>6</v>
      </c>
      <c r="G12" s="503">
        <v>6</v>
      </c>
      <c r="H12" s="503">
        <v>6</v>
      </c>
      <c r="I12" s="503">
        <f t="shared" si="0"/>
        <v>0</v>
      </c>
      <c r="J12" s="3"/>
    </row>
    <row r="13" spans="1:10" s="6" customFormat="1" ht="30" customHeight="1">
      <c r="A13" s="892"/>
      <c r="B13" s="931"/>
      <c r="C13" s="898"/>
      <c r="D13" s="934"/>
      <c r="E13" s="144" t="s">
        <v>640</v>
      </c>
      <c r="F13" s="152">
        <f>배점기준!C37</f>
        <v>8</v>
      </c>
      <c r="G13" s="153">
        <f>기술자!J22</f>
        <v>8</v>
      </c>
      <c r="H13" s="153">
        <v>8</v>
      </c>
      <c r="I13" s="153">
        <f t="shared" si="0"/>
        <v>0</v>
      </c>
      <c r="J13" s="3"/>
    </row>
    <row r="14" spans="1:10" s="6" customFormat="1" ht="30" customHeight="1">
      <c r="A14" s="892"/>
      <c r="B14" s="931"/>
      <c r="C14" s="898"/>
      <c r="D14" s="908"/>
      <c r="E14" s="144" t="s">
        <v>641</v>
      </c>
      <c r="F14" s="152">
        <f>배점기준!C51</f>
        <v>3</v>
      </c>
      <c r="G14" s="153">
        <f>기술자!J26</f>
        <v>3</v>
      </c>
      <c r="H14" s="153">
        <v>3</v>
      </c>
      <c r="I14" s="153">
        <f t="shared" si="0"/>
        <v>0</v>
      </c>
      <c r="J14" s="3"/>
    </row>
    <row r="15" spans="1:10" s="6" customFormat="1" ht="30" customHeight="1">
      <c r="A15" s="892"/>
      <c r="B15" s="931"/>
      <c r="C15" s="898"/>
      <c r="D15" s="935" t="s">
        <v>646</v>
      </c>
      <c r="E15" s="144" t="s">
        <v>639</v>
      </c>
      <c r="F15" s="152">
        <v>6</v>
      </c>
      <c r="G15" s="153">
        <v>6</v>
      </c>
      <c r="H15" s="153">
        <v>6</v>
      </c>
      <c r="I15" s="153">
        <f t="shared" si="0"/>
        <v>0</v>
      </c>
      <c r="J15" s="3"/>
    </row>
    <row r="16" spans="1:10" s="6" customFormat="1" ht="30" customHeight="1">
      <c r="A16" s="892"/>
      <c r="B16" s="931"/>
      <c r="C16" s="898"/>
      <c r="D16" s="934"/>
      <c r="E16" s="144" t="s">
        <v>640</v>
      </c>
      <c r="F16" s="152">
        <f>배점기준!C44</f>
        <v>9</v>
      </c>
      <c r="G16" s="153">
        <f>기술자!J24</f>
        <v>5.3999999999999995</v>
      </c>
      <c r="H16" s="153">
        <v>5.3999999999999995</v>
      </c>
      <c r="I16" s="153">
        <f t="shared" si="0"/>
        <v>0</v>
      </c>
      <c r="J16" s="3"/>
    </row>
    <row r="17" spans="1:10" s="6" customFormat="1" ht="30" customHeight="1">
      <c r="A17" s="892"/>
      <c r="B17" s="931"/>
      <c r="C17" s="898"/>
      <c r="D17" s="908"/>
      <c r="E17" s="144" t="s">
        <v>641</v>
      </c>
      <c r="F17" s="152">
        <f>배점기준!C58</f>
        <v>3</v>
      </c>
      <c r="G17" s="153">
        <f>기술자!J28</f>
        <v>2.0999999999999996</v>
      </c>
      <c r="H17" s="153">
        <v>2.0999999999999996</v>
      </c>
      <c r="I17" s="153">
        <f t="shared" si="0"/>
        <v>0</v>
      </c>
      <c r="J17" s="3"/>
    </row>
    <row r="18" spans="1:10" s="6" customFormat="1" ht="30" customHeight="1">
      <c r="A18" s="892"/>
      <c r="B18" s="931"/>
      <c r="C18" s="898"/>
      <c r="D18" s="906" t="s">
        <v>647</v>
      </c>
      <c r="E18" s="938"/>
      <c r="F18" s="321">
        <f>배점기준!C65</f>
        <v>1</v>
      </c>
      <c r="G18" s="154">
        <f>기술자!F34</f>
        <v>1</v>
      </c>
      <c r="H18" s="154">
        <v>1</v>
      </c>
      <c r="I18" s="154">
        <f t="shared" si="0"/>
        <v>0</v>
      </c>
      <c r="J18" s="3"/>
    </row>
    <row r="19" spans="1:10" s="6" customFormat="1" ht="30" customHeight="1">
      <c r="A19" s="892"/>
      <c r="B19" s="930"/>
      <c r="C19" s="921"/>
      <c r="D19" s="939" t="s">
        <v>648</v>
      </c>
      <c r="E19" s="940"/>
      <c r="F19" s="504">
        <f>배점기준!C35</f>
        <v>1</v>
      </c>
      <c r="G19" s="456">
        <f>기술자!H36</f>
        <v>0</v>
      </c>
      <c r="H19" s="456">
        <v>0</v>
      </c>
      <c r="I19" s="456">
        <f t="shared" si="0"/>
        <v>0</v>
      </c>
      <c r="J19" s="3"/>
    </row>
    <row r="20" spans="1:10" s="6" customFormat="1" ht="30" customHeight="1">
      <c r="A20" s="892" t="s">
        <v>649</v>
      </c>
      <c r="B20" s="895" t="s">
        <v>650</v>
      </c>
      <c r="C20" s="897">
        <v>15</v>
      </c>
      <c r="D20" s="899" t="s">
        <v>651</v>
      </c>
      <c r="E20" s="144" t="s">
        <v>652</v>
      </c>
      <c r="F20" s="152">
        <f>배점기준!C67</f>
        <v>7</v>
      </c>
      <c r="G20" s="153">
        <f>유사용역!H4</f>
        <v>6.3</v>
      </c>
      <c r="H20" s="153">
        <v>7</v>
      </c>
      <c r="I20" s="153">
        <f t="shared" si="0"/>
        <v>-0.70000000000000018</v>
      </c>
      <c r="J20" s="3"/>
    </row>
    <row r="21" spans="1:10" s="6" customFormat="1" ht="30" customHeight="1">
      <c r="A21" s="892"/>
      <c r="B21" s="896"/>
      <c r="C21" s="898"/>
      <c r="D21" s="900"/>
      <c r="E21" s="144" t="s">
        <v>653</v>
      </c>
      <c r="F21" s="152">
        <f>배점기준!C71</f>
        <v>7</v>
      </c>
      <c r="G21" s="153">
        <f>유사용역!H7</f>
        <v>7</v>
      </c>
      <c r="H21" s="153">
        <v>7</v>
      </c>
      <c r="I21" s="153">
        <f t="shared" si="0"/>
        <v>0</v>
      </c>
      <c r="J21" s="3"/>
    </row>
    <row r="22" spans="1:10" s="6" customFormat="1" ht="30" customHeight="1">
      <c r="A22" s="892"/>
      <c r="B22" s="896"/>
      <c r="C22" s="898"/>
      <c r="D22" s="902" t="s">
        <v>654</v>
      </c>
      <c r="E22" s="903"/>
      <c r="F22" s="321">
        <f>배점기준!C73</f>
        <v>1</v>
      </c>
      <c r="G22" s="154">
        <f>유사용역!F11</f>
        <v>0</v>
      </c>
      <c r="H22" s="154">
        <v>0</v>
      </c>
      <c r="I22" s="154">
        <f t="shared" si="0"/>
        <v>0</v>
      </c>
      <c r="J22" s="3"/>
    </row>
    <row r="23" spans="1:10" s="6" customFormat="1" ht="30" customHeight="1">
      <c r="A23" s="892"/>
      <c r="B23" s="929" t="s">
        <v>655</v>
      </c>
      <c r="C23" s="920">
        <v>10</v>
      </c>
      <c r="D23" s="904" t="s">
        <v>656</v>
      </c>
      <c r="E23" s="905"/>
      <c r="F23" s="502">
        <f>배점기준!C75</f>
        <v>7</v>
      </c>
      <c r="G23" s="503">
        <f>신용도!L6</f>
        <v>7</v>
      </c>
      <c r="H23" s="503">
        <v>7</v>
      </c>
      <c r="I23" s="503">
        <f t="shared" si="0"/>
        <v>0</v>
      </c>
      <c r="J23" s="3"/>
    </row>
    <row r="24" spans="1:10" s="6" customFormat="1" ht="30" customHeight="1">
      <c r="A24" s="892"/>
      <c r="B24" s="930"/>
      <c r="C24" s="921"/>
      <c r="D24" s="893" t="s">
        <v>657</v>
      </c>
      <c r="E24" s="894"/>
      <c r="F24" s="504">
        <f>배점기준!C81</f>
        <v>3</v>
      </c>
      <c r="G24" s="456">
        <f>신용도!K13</f>
        <v>2.8740000000000001</v>
      </c>
      <c r="H24" s="456">
        <v>2.8740000000000001</v>
      </c>
      <c r="I24" s="456">
        <f t="shared" si="0"/>
        <v>0</v>
      </c>
      <c r="J24" s="3"/>
    </row>
    <row r="25" spans="1:10" ht="30" customHeight="1">
      <c r="A25" s="892"/>
      <c r="B25" s="896" t="s">
        <v>658</v>
      </c>
      <c r="C25" s="898">
        <v>15</v>
      </c>
      <c r="D25" s="908" t="s">
        <v>659</v>
      </c>
      <c r="E25" s="909"/>
      <c r="F25" s="576">
        <f>배점기준!C85</f>
        <v>2</v>
      </c>
      <c r="G25" s="577">
        <f>기술투자!O6</f>
        <v>1.1040999999999999</v>
      </c>
      <c r="H25" s="577">
        <v>1.1040999999999999</v>
      </c>
      <c r="I25" s="577">
        <f t="shared" si="0"/>
        <v>0</v>
      </c>
    </row>
    <row r="26" spans="1:10" ht="30" customHeight="1">
      <c r="A26" s="892"/>
      <c r="B26" s="896"/>
      <c r="C26" s="898"/>
      <c r="D26" s="910" t="s">
        <v>660</v>
      </c>
      <c r="E26" s="911"/>
      <c r="F26" s="152">
        <f>배점기준!C90</f>
        <v>10</v>
      </c>
      <c r="G26" s="153">
        <f>기술투자!J13</f>
        <v>10</v>
      </c>
      <c r="H26" s="153">
        <v>10</v>
      </c>
      <c r="I26" s="153">
        <f t="shared" si="0"/>
        <v>0</v>
      </c>
    </row>
    <row r="27" spans="1:10" ht="30" customHeight="1">
      <c r="A27" s="892"/>
      <c r="B27" s="901"/>
      <c r="C27" s="898"/>
      <c r="D27" s="910" t="s">
        <v>661</v>
      </c>
      <c r="E27" s="911"/>
      <c r="F27" s="152">
        <f>배점기준!C92</f>
        <v>3</v>
      </c>
      <c r="G27" s="153">
        <f>기술투자!J26</f>
        <v>2.7837199999999998</v>
      </c>
      <c r="H27" s="153">
        <v>2.7837199999999998</v>
      </c>
      <c r="I27" s="153">
        <f t="shared" si="0"/>
        <v>0</v>
      </c>
    </row>
    <row r="28" spans="1:10" ht="30" customHeight="1">
      <c r="A28" s="916" t="s">
        <v>662</v>
      </c>
      <c r="B28" s="917"/>
      <c r="C28" s="920">
        <v>10</v>
      </c>
      <c r="D28" s="922" t="s">
        <v>663</v>
      </c>
      <c r="E28" s="905"/>
      <c r="F28" s="502">
        <f>배점기준!C101</f>
        <v>4</v>
      </c>
      <c r="G28" s="503">
        <f>중복도!D8</f>
        <v>4</v>
      </c>
      <c r="H28" s="503">
        <v>4</v>
      </c>
      <c r="I28" s="503">
        <f t="shared" si="0"/>
        <v>0</v>
      </c>
    </row>
    <row r="29" spans="1:10" ht="30" customHeight="1">
      <c r="A29" s="918"/>
      <c r="B29" s="919"/>
      <c r="C29" s="921"/>
      <c r="D29" s="893" t="s">
        <v>664</v>
      </c>
      <c r="E29" s="894"/>
      <c r="F29" s="504">
        <f>배점기준!C102</f>
        <v>6</v>
      </c>
      <c r="G29" s="456">
        <f>중복도!J8</f>
        <v>5.67</v>
      </c>
      <c r="H29" s="456">
        <v>5.55</v>
      </c>
      <c r="I29" s="456">
        <f t="shared" si="0"/>
        <v>0.12000000000000011</v>
      </c>
    </row>
    <row r="30" spans="1:10" ht="30" customHeight="1">
      <c r="A30" s="912" t="s">
        <v>665</v>
      </c>
      <c r="B30" s="913"/>
      <c r="C30" s="505"/>
      <c r="D30" s="914" t="s">
        <v>666</v>
      </c>
      <c r="E30" s="915"/>
      <c r="F30" s="506"/>
      <c r="G30" s="507">
        <f>가감점!F5</f>
        <v>0</v>
      </c>
      <c r="H30" s="507">
        <v>0</v>
      </c>
      <c r="I30" s="507">
        <f t="shared" si="0"/>
        <v>0</v>
      </c>
    </row>
    <row r="31" spans="1:10" s="14" customFormat="1" ht="30" customHeight="1">
      <c r="A31" s="890" t="s">
        <v>667</v>
      </c>
      <c r="B31" s="890"/>
      <c r="C31" s="578">
        <f>SUM(C7:C30)</f>
        <v>100</v>
      </c>
      <c r="D31" s="891"/>
      <c r="E31" s="891"/>
      <c r="F31" s="891"/>
      <c r="G31" s="606">
        <f>ROUND(SUM(G7:G30),2)</f>
        <v>91.23</v>
      </c>
      <c r="H31" s="811">
        <v>91.81</v>
      </c>
      <c r="I31" s="811">
        <f t="shared" si="0"/>
        <v>-0.57999999999999829</v>
      </c>
    </row>
    <row r="32" spans="1:10" ht="13.5" customHeight="1">
      <c r="C32" s="76"/>
      <c r="F32" s="76"/>
    </row>
    <row r="33" spans="3:6" ht="13.5" customHeight="1">
      <c r="C33" s="76"/>
      <c r="F33" s="76"/>
    </row>
    <row r="34" spans="3:6" ht="13.5" customHeight="1">
      <c r="F34" s="76"/>
    </row>
    <row r="35" spans="3:6" ht="13.5" customHeight="1">
      <c r="C35" s="76"/>
      <c r="F35" s="76"/>
    </row>
    <row r="36" spans="3:6" ht="13.5" customHeight="1">
      <c r="C36" s="76"/>
      <c r="F36" s="76"/>
    </row>
    <row r="37" spans="3:6" ht="13.5" customHeight="1">
      <c r="C37" s="76"/>
      <c r="F37" s="76"/>
    </row>
    <row r="38" spans="3:6" ht="13.5" customHeight="1">
      <c r="C38" s="76"/>
      <c r="F38" s="76"/>
    </row>
    <row r="39" spans="3:6" ht="13.5" customHeight="1">
      <c r="C39" s="76"/>
      <c r="F39" s="76"/>
    </row>
    <row r="40" spans="3:6" ht="13.5" customHeight="1">
      <c r="C40" s="76"/>
      <c r="F40" s="76"/>
    </row>
    <row r="41" spans="3:6" ht="13.5" customHeight="1">
      <c r="C41" s="76"/>
      <c r="F41" s="76"/>
    </row>
    <row r="42" spans="3:6" ht="13.5" customHeight="1">
      <c r="C42" s="76"/>
      <c r="F42" s="76"/>
    </row>
    <row r="43" spans="3:6" ht="13.5" customHeight="1">
      <c r="C43" s="76"/>
      <c r="F43" s="76"/>
    </row>
    <row r="44" spans="3:6" ht="13.5" customHeight="1">
      <c r="C44" s="76"/>
      <c r="F44" s="76"/>
    </row>
    <row r="45" spans="3:6" ht="13.5" customHeight="1">
      <c r="C45" s="76"/>
      <c r="F45" s="76"/>
    </row>
    <row r="46" spans="3:6" ht="13.5" customHeight="1">
      <c r="C46" s="76"/>
      <c r="F46" s="76"/>
    </row>
    <row r="47" spans="3:6" ht="13.5" customHeight="1">
      <c r="C47" s="76"/>
      <c r="F47" s="76"/>
    </row>
    <row r="48" spans="3:6" ht="13.5" customHeight="1">
      <c r="C48" s="76"/>
      <c r="F48" s="76"/>
    </row>
    <row r="49" spans="3:6" ht="13.5" customHeight="1">
      <c r="C49" s="76"/>
      <c r="F49" s="76"/>
    </row>
    <row r="50" spans="3:6" ht="13.5" customHeight="1">
      <c r="C50" s="76"/>
      <c r="F50" s="76"/>
    </row>
    <row r="51" spans="3:6" ht="13.5" customHeight="1">
      <c r="C51" s="76"/>
      <c r="F51" s="76"/>
    </row>
    <row r="52" spans="3:6" ht="13.5" customHeight="1">
      <c r="C52" s="76"/>
      <c r="F52" s="76"/>
    </row>
    <row r="53" spans="3:6" ht="13.5" customHeight="1">
      <c r="C53" s="76"/>
      <c r="F53" s="76"/>
    </row>
    <row r="54" spans="3:6" ht="13.5" customHeight="1">
      <c r="C54" s="76"/>
      <c r="F54" s="76"/>
    </row>
    <row r="55" spans="3:6" ht="13.5" customHeight="1">
      <c r="C55" s="76"/>
      <c r="F55" s="76"/>
    </row>
    <row r="56" spans="3:6">
      <c r="C56" s="76"/>
      <c r="F56" s="76"/>
    </row>
    <row r="57" spans="3:6">
      <c r="C57" s="76"/>
      <c r="F57" s="76"/>
    </row>
    <row r="58" spans="3:6">
      <c r="C58" s="76"/>
      <c r="F58" s="76"/>
    </row>
    <row r="59" spans="3:6">
      <c r="C59" s="76"/>
      <c r="F59" s="76"/>
    </row>
    <row r="60" spans="3:6">
      <c r="C60" s="76"/>
    </row>
    <row r="61" spans="3:6">
      <c r="C61" s="76"/>
    </row>
  </sheetData>
  <mergeCells count="41">
    <mergeCell ref="A5:C5"/>
    <mergeCell ref="D5:F5"/>
    <mergeCell ref="G5:G6"/>
    <mergeCell ref="D6:E6"/>
    <mergeCell ref="B23:B24"/>
    <mergeCell ref="C23:C24"/>
    <mergeCell ref="D11:E11"/>
    <mergeCell ref="B12:B19"/>
    <mergeCell ref="C12:C19"/>
    <mergeCell ref="D12:D14"/>
    <mergeCell ref="D15:D17"/>
    <mergeCell ref="B7:B11"/>
    <mergeCell ref="C7:C11"/>
    <mergeCell ref="D7:D9"/>
    <mergeCell ref="D18:E18"/>
    <mergeCell ref="D19:E19"/>
    <mergeCell ref="D10:E10"/>
    <mergeCell ref="D25:E25"/>
    <mergeCell ref="D26:E26"/>
    <mergeCell ref="D27:E27"/>
    <mergeCell ref="A30:B30"/>
    <mergeCell ref="D30:E30"/>
    <mergeCell ref="A28:B29"/>
    <mergeCell ref="C28:C29"/>
    <mergeCell ref="D28:E28"/>
    <mergeCell ref="H5:H6"/>
    <mergeCell ref="I5:I6"/>
    <mergeCell ref="A1:I1"/>
    <mergeCell ref="A31:B31"/>
    <mergeCell ref="D31:F31"/>
    <mergeCell ref="A7:A19"/>
    <mergeCell ref="D29:E29"/>
    <mergeCell ref="A20:A27"/>
    <mergeCell ref="B20:B22"/>
    <mergeCell ref="C20:C22"/>
    <mergeCell ref="D20:D21"/>
    <mergeCell ref="B25:B27"/>
    <mergeCell ref="D22:E22"/>
    <mergeCell ref="D23:E23"/>
    <mergeCell ref="D24:E24"/>
    <mergeCell ref="C25:C27"/>
  </mergeCells>
  <phoneticPr fontId="2" type="noConversion"/>
  <pageMargins left="0.75" right="0.55118110236220474" top="0.98425196850393704" bottom="0.78740157480314965" header="0.51181102362204722" footer="0.51181102362204722"/>
  <pageSetup paperSize="9" scale="77" orientation="portrait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43"/>
  </sheetPr>
  <dimension ref="A1:S150"/>
  <sheetViews>
    <sheetView view="pageBreakPreview" zoomScale="85" zoomScaleNormal="85" zoomScaleSheetLayoutView="85" workbookViewId="0">
      <pane xSplit="3" topLeftCell="D1" activePane="topRight" state="frozen"/>
      <selection activeCell="J9" sqref="J9"/>
      <selection pane="topRight" activeCell="P6" sqref="P6"/>
    </sheetView>
  </sheetViews>
  <sheetFormatPr defaultRowHeight="12" customHeight="1"/>
  <cols>
    <col min="1" max="1" width="3.77734375" style="137" customWidth="1"/>
    <col min="2" max="2" width="33.77734375" style="133" customWidth="1"/>
    <col min="3" max="3" width="26.77734375" style="133" customWidth="1"/>
    <col min="4" max="4" width="15.6640625" style="133" customWidth="1"/>
    <col min="5" max="5" width="10.5546875" style="133" bestFit="1" customWidth="1"/>
    <col min="6" max="7" width="10.33203125" style="133" bestFit="1" customWidth="1"/>
    <col min="8" max="8" width="9.6640625" style="134" bestFit="1" customWidth="1"/>
    <col min="9" max="9" width="10.33203125" style="141" bestFit="1" customWidth="1"/>
    <col min="10" max="10" width="10.109375" style="141" bestFit="1" customWidth="1"/>
    <col min="11" max="11" width="9.5546875" style="164" customWidth="1"/>
    <col min="12" max="12" width="8.44140625" style="136" bestFit="1" customWidth="1"/>
    <col min="13" max="13" width="8.44140625" style="136" customWidth="1"/>
    <col min="14" max="14" width="7.88671875" style="136" customWidth="1"/>
    <col min="15" max="15" width="8.5546875" style="136" bestFit="1" customWidth="1"/>
    <col min="16" max="16" width="6.77734375" style="131" customWidth="1"/>
    <col min="17" max="17" width="5.33203125" style="128" customWidth="1"/>
    <col min="18" max="16384" width="8.88671875" style="128"/>
  </cols>
  <sheetData>
    <row r="1" spans="1:17" s="125" customFormat="1" ht="50.25" customHeight="1">
      <c r="A1" s="322"/>
      <c r="B1" s="323" t="s">
        <v>671</v>
      </c>
      <c r="C1" s="327" t="s">
        <v>809</v>
      </c>
      <c r="D1" s="322"/>
      <c r="E1" s="323"/>
      <c r="F1" s="322"/>
      <c r="G1" s="322"/>
      <c r="H1" s="121"/>
      <c r="I1" s="121"/>
      <c r="J1" s="121"/>
      <c r="K1" s="282"/>
      <c r="L1" s="121"/>
      <c r="M1" s="121"/>
      <c r="N1" s="121"/>
      <c r="O1" s="121"/>
      <c r="P1" s="122"/>
      <c r="Q1" s="124"/>
    </row>
    <row r="2" spans="1:17" s="124" customFormat="1" ht="9" customHeight="1">
      <c r="A2" s="322"/>
      <c r="B2" s="323"/>
      <c r="C2" s="322"/>
      <c r="D2" s="322"/>
      <c r="E2" s="323"/>
      <c r="F2" s="322"/>
      <c r="G2" s="322"/>
      <c r="H2" s="121"/>
      <c r="I2" s="121"/>
      <c r="J2" s="121"/>
      <c r="K2" s="282"/>
      <c r="L2" s="121"/>
      <c r="M2" s="121"/>
      <c r="N2" s="121"/>
      <c r="O2" s="121"/>
      <c r="P2" s="122"/>
    </row>
    <row r="3" spans="1:17" s="124" customFormat="1" ht="33.75" customHeight="1" thickBot="1">
      <c r="A3" s="322"/>
      <c r="B3" s="323" t="s">
        <v>41</v>
      </c>
      <c r="C3" s="322"/>
      <c r="D3" s="322"/>
      <c r="E3" s="323"/>
      <c r="F3" s="322"/>
      <c r="G3" s="322"/>
      <c r="H3" s="121"/>
      <c r="I3" s="121"/>
      <c r="J3" s="121"/>
      <c r="K3" s="282"/>
      <c r="L3" s="121"/>
      <c r="M3" s="121"/>
      <c r="N3" s="121"/>
      <c r="O3" s="121"/>
      <c r="P3" s="122"/>
    </row>
    <row r="4" spans="1:17" s="126" customFormat="1" ht="33" customHeight="1">
      <c r="A4" s="948" t="s">
        <v>34</v>
      </c>
      <c r="B4" s="957" t="s">
        <v>35</v>
      </c>
      <c r="C4" s="959" t="s">
        <v>36</v>
      </c>
      <c r="D4" s="959" t="s">
        <v>37</v>
      </c>
      <c r="E4" s="955" t="s">
        <v>42</v>
      </c>
      <c r="F4" s="961" t="s">
        <v>43</v>
      </c>
      <c r="G4" s="951"/>
      <c r="H4" s="952"/>
      <c r="I4" s="951" t="s">
        <v>44</v>
      </c>
      <c r="J4" s="951"/>
      <c r="K4" s="952"/>
      <c r="L4" s="953" t="s">
        <v>45</v>
      </c>
      <c r="M4" s="955" t="s">
        <v>46</v>
      </c>
      <c r="N4" s="946" t="s">
        <v>47</v>
      </c>
      <c r="O4" s="946" t="s">
        <v>48</v>
      </c>
      <c r="P4" s="946" t="s">
        <v>49</v>
      </c>
      <c r="Q4" s="941" t="s">
        <v>39</v>
      </c>
    </row>
    <row r="5" spans="1:17" s="126" customFormat="1" ht="33" customHeight="1">
      <c r="A5" s="949"/>
      <c r="B5" s="958"/>
      <c r="C5" s="960"/>
      <c r="D5" s="960"/>
      <c r="E5" s="956"/>
      <c r="F5" s="183" t="s">
        <v>50</v>
      </c>
      <c r="G5" s="183" t="s">
        <v>51</v>
      </c>
      <c r="H5" s="184" t="s">
        <v>52</v>
      </c>
      <c r="I5" s="183" t="s">
        <v>53</v>
      </c>
      <c r="J5" s="183" t="s">
        <v>54</v>
      </c>
      <c r="K5" s="184" t="s">
        <v>55</v>
      </c>
      <c r="L5" s="954"/>
      <c r="M5" s="956"/>
      <c r="N5" s="947"/>
      <c r="O5" s="947"/>
      <c r="P5" s="947"/>
      <c r="Q5" s="942"/>
    </row>
    <row r="6" spans="1:17" s="189" customFormat="1" ht="202.5" customHeight="1">
      <c r="A6" s="191">
        <v>1</v>
      </c>
      <c r="B6" s="792" t="s">
        <v>816</v>
      </c>
      <c r="C6" s="526" t="s">
        <v>619</v>
      </c>
      <c r="D6" s="793" t="s">
        <v>817</v>
      </c>
      <c r="E6" s="770">
        <v>833.42700000000002</v>
      </c>
      <c r="F6" s="768" t="s">
        <v>617</v>
      </c>
      <c r="G6" s="768" t="s">
        <v>618</v>
      </c>
      <c r="H6" s="649">
        <f>IF(G6-F6+1&gt;=2*365,2*365,G6-F6+1)</f>
        <v>730</v>
      </c>
      <c r="I6" s="768" t="s">
        <v>617</v>
      </c>
      <c r="J6" s="768" t="s">
        <v>618</v>
      </c>
      <c r="K6" s="649">
        <f>IF(J6-I6+1&gt;=2*365,2*365,J6-I6+1)</f>
        <v>730</v>
      </c>
      <c r="L6" s="650" t="s">
        <v>491</v>
      </c>
      <c r="M6" s="193">
        <f>189+113+91+54</f>
        <v>447</v>
      </c>
      <c r="N6" s="672">
        <f>E6-M6</f>
        <v>386.42700000000002</v>
      </c>
      <c r="O6" s="673">
        <f>N6/(배점기준!$G$9/1000)</f>
        <v>0.25662929287764008</v>
      </c>
      <c r="P6" s="674">
        <f>(IF(N6&lt;231,0,IF(O6&gt;=2.5,3,IF(O6&gt;=2,2,IF(O6&gt;=1.5,1.5,IF(O6&gt;=1,1,IF(O6&gt;=0.5,0.5,0.25)))))))*K6/H6</f>
        <v>0.25</v>
      </c>
      <c r="Q6" s="646"/>
    </row>
    <row r="7" spans="1:17" s="189" customFormat="1" ht="12" customHeight="1">
      <c r="A7" s="191">
        <f>A6+1</f>
        <v>2</v>
      </c>
      <c r="B7" s="769"/>
      <c r="C7" s="526"/>
      <c r="D7" s="771"/>
      <c r="E7" s="770"/>
      <c r="F7" s="768"/>
      <c r="G7" s="768"/>
      <c r="H7" s="649"/>
      <c r="I7" s="768"/>
      <c r="J7" s="768"/>
      <c r="K7" s="649"/>
      <c r="L7" s="650"/>
      <c r="M7" s="193"/>
      <c r="N7" s="672"/>
      <c r="O7" s="673"/>
      <c r="P7" s="674"/>
      <c r="Q7" s="646"/>
    </row>
    <row r="8" spans="1:17" s="189" customFormat="1" ht="12" customHeight="1">
      <c r="A8" s="191">
        <f t="shared" ref="A8:A33" si="0">A7+1</f>
        <v>3</v>
      </c>
      <c r="B8" s="769"/>
      <c r="C8" s="526"/>
      <c r="D8" s="771"/>
      <c r="E8" s="770"/>
      <c r="F8" s="768"/>
      <c r="G8" s="768"/>
      <c r="H8" s="649"/>
      <c r="I8" s="768"/>
      <c r="J8" s="768"/>
      <c r="K8" s="649"/>
      <c r="L8" s="650"/>
      <c r="M8" s="193"/>
      <c r="N8" s="672"/>
      <c r="O8" s="673"/>
      <c r="P8" s="674"/>
      <c r="Q8" s="646"/>
    </row>
    <row r="9" spans="1:17" s="189" customFormat="1" ht="12" customHeight="1">
      <c r="A9" s="191">
        <f t="shared" si="0"/>
        <v>4</v>
      </c>
      <c r="B9" s="769"/>
      <c r="C9" s="526"/>
      <c r="D9" s="771"/>
      <c r="E9" s="770"/>
      <c r="F9" s="768"/>
      <c r="G9" s="768"/>
      <c r="H9" s="649"/>
      <c r="I9" s="768"/>
      <c r="J9" s="768"/>
      <c r="K9" s="649"/>
      <c r="L9" s="650"/>
      <c r="M9" s="193"/>
      <c r="N9" s="672"/>
      <c r="O9" s="673"/>
      <c r="P9" s="674"/>
      <c r="Q9" s="646"/>
    </row>
    <row r="10" spans="1:17" s="189" customFormat="1" ht="12" customHeight="1">
      <c r="A10" s="191">
        <f t="shared" si="0"/>
        <v>5</v>
      </c>
      <c r="B10" s="769"/>
      <c r="C10" s="526"/>
      <c r="D10" s="771"/>
      <c r="E10" s="770"/>
      <c r="F10" s="768"/>
      <c r="G10" s="768"/>
      <c r="H10" s="649"/>
      <c r="I10" s="768"/>
      <c r="J10" s="768"/>
      <c r="K10" s="649"/>
      <c r="L10" s="650"/>
      <c r="M10" s="193"/>
      <c r="N10" s="672"/>
      <c r="O10" s="673"/>
      <c r="P10" s="674"/>
      <c r="Q10" s="646"/>
    </row>
    <row r="11" spans="1:17" s="189" customFormat="1" ht="12" customHeight="1">
      <c r="A11" s="191">
        <f t="shared" si="0"/>
        <v>6</v>
      </c>
      <c r="B11" s="769"/>
      <c r="C11" s="526"/>
      <c r="D11" s="771"/>
      <c r="E11" s="770"/>
      <c r="F11" s="768"/>
      <c r="G11" s="768"/>
      <c r="H11" s="649"/>
      <c r="I11" s="768"/>
      <c r="J11" s="768"/>
      <c r="K11" s="649"/>
      <c r="L11" s="650"/>
      <c r="M11" s="193"/>
      <c r="N11" s="672"/>
      <c r="O11" s="673"/>
      <c r="P11" s="674"/>
      <c r="Q11" s="646"/>
    </row>
    <row r="12" spans="1:17" s="189" customFormat="1" ht="12" customHeight="1">
      <c r="A12" s="191">
        <f t="shared" si="0"/>
        <v>7</v>
      </c>
      <c r="B12" s="769"/>
      <c r="C12" s="526"/>
      <c r="D12" s="771"/>
      <c r="E12" s="770"/>
      <c r="F12" s="768"/>
      <c r="G12" s="768"/>
      <c r="H12" s="649"/>
      <c r="I12" s="768"/>
      <c r="J12" s="768"/>
      <c r="K12" s="649"/>
      <c r="L12" s="650"/>
      <c r="M12" s="193"/>
      <c r="N12" s="672"/>
      <c r="O12" s="673"/>
      <c r="P12" s="674"/>
      <c r="Q12" s="646"/>
    </row>
    <row r="13" spans="1:17" s="189" customFormat="1" ht="12" customHeight="1">
      <c r="A13" s="191">
        <f t="shared" si="0"/>
        <v>8</v>
      </c>
      <c r="B13" s="769"/>
      <c r="C13" s="526"/>
      <c r="D13" s="771"/>
      <c r="E13" s="770"/>
      <c r="F13" s="768"/>
      <c r="G13" s="768"/>
      <c r="H13" s="649"/>
      <c r="I13" s="768"/>
      <c r="J13" s="768"/>
      <c r="K13" s="649"/>
      <c r="L13" s="650"/>
      <c r="M13" s="193"/>
      <c r="N13" s="672"/>
      <c r="O13" s="673"/>
      <c r="P13" s="674"/>
      <c r="Q13" s="646"/>
    </row>
    <row r="14" spans="1:17" s="189" customFormat="1" ht="12" customHeight="1">
      <c r="A14" s="191">
        <f t="shared" si="0"/>
        <v>9</v>
      </c>
      <c r="B14" s="769"/>
      <c r="C14" s="526"/>
      <c r="D14" s="771"/>
      <c r="E14" s="770"/>
      <c r="F14" s="768"/>
      <c r="G14" s="768"/>
      <c r="H14" s="649"/>
      <c r="I14" s="768"/>
      <c r="J14" s="768"/>
      <c r="K14" s="649"/>
      <c r="L14" s="650"/>
      <c r="M14" s="193"/>
      <c r="N14" s="672"/>
      <c r="O14" s="673"/>
      <c r="P14" s="674"/>
      <c r="Q14" s="646"/>
    </row>
    <row r="15" spans="1:17" s="189" customFormat="1" ht="12" customHeight="1">
      <c r="A15" s="191">
        <f t="shared" si="0"/>
        <v>10</v>
      </c>
      <c r="B15" s="769"/>
      <c r="C15" s="526"/>
      <c r="D15" s="771"/>
      <c r="E15" s="770"/>
      <c r="F15" s="768"/>
      <c r="G15" s="768"/>
      <c r="H15" s="649"/>
      <c r="I15" s="768"/>
      <c r="J15" s="768"/>
      <c r="K15" s="649"/>
      <c r="L15" s="650"/>
      <c r="M15" s="193"/>
      <c r="N15" s="672"/>
      <c r="O15" s="673"/>
      <c r="P15" s="674"/>
      <c r="Q15" s="646"/>
    </row>
    <row r="16" spans="1:17" s="189" customFormat="1" ht="12" customHeight="1">
      <c r="A16" s="191">
        <f t="shared" si="0"/>
        <v>11</v>
      </c>
      <c r="B16" s="769"/>
      <c r="C16" s="526"/>
      <c r="D16" s="771"/>
      <c r="E16" s="770"/>
      <c r="F16" s="768"/>
      <c r="G16" s="768"/>
      <c r="H16" s="649"/>
      <c r="I16" s="768"/>
      <c r="J16" s="768"/>
      <c r="K16" s="649"/>
      <c r="L16" s="650"/>
      <c r="M16" s="193"/>
      <c r="N16" s="672"/>
      <c r="O16" s="673"/>
      <c r="P16" s="674"/>
      <c r="Q16" s="646"/>
    </row>
    <row r="17" spans="1:19" s="189" customFormat="1" ht="12" hidden="1" customHeight="1">
      <c r="A17" s="191">
        <f t="shared" si="0"/>
        <v>12</v>
      </c>
      <c r="B17" s="769"/>
      <c r="C17" s="526"/>
      <c r="D17" s="771"/>
      <c r="E17" s="770"/>
      <c r="F17" s="768"/>
      <c r="G17" s="768"/>
      <c r="H17" s="649"/>
      <c r="I17" s="768"/>
      <c r="J17" s="768"/>
      <c r="K17" s="649"/>
      <c r="L17" s="650"/>
      <c r="M17" s="193"/>
      <c r="N17" s="672"/>
      <c r="O17" s="673"/>
      <c r="P17" s="674"/>
      <c r="Q17" s="646"/>
    </row>
    <row r="18" spans="1:19" s="189" customFormat="1" ht="12" hidden="1" customHeight="1">
      <c r="A18" s="191">
        <f t="shared" si="0"/>
        <v>13</v>
      </c>
      <c r="B18" s="769"/>
      <c r="C18" s="526"/>
      <c r="D18" s="771"/>
      <c r="E18" s="770"/>
      <c r="F18" s="768"/>
      <c r="G18" s="768"/>
      <c r="H18" s="649"/>
      <c r="I18" s="768"/>
      <c r="J18" s="768"/>
      <c r="K18" s="649"/>
      <c r="L18" s="650"/>
      <c r="M18" s="193"/>
      <c r="N18" s="672"/>
      <c r="O18" s="673"/>
      <c r="P18" s="674"/>
      <c r="Q18" s="646"/>
    </row>
    <row r="19" spans="1:19" s="189" customFormat="1" ht="12" hidden="1" customHeight="1">
      <c r="A19" s="191">
        <f t="shared" si="0"/>
        <v>14</v>
      </c>
      <c r="B19" s="769"/>
      <c r="C19" s="526"/>
      <c r="D19" s="771"/>
      <c r="E19" s="770"/>
      <c r="F19" s="768"/>
      <c r="G19" s="768"/>
      <c r="H19" s="649"/>
      <c r="I19" s="768"/>
      <c r="J19" s="768"/>
      <c r="K19" s="649"/>
      <c r="L19" s="650"/>
      <c r="M19" s="193"/>
      <c r="N19" s="672"/>
      <c r="O19" s="673"/>
      <c r="P19" s="674"/>
      <c r="Q19" s="646"/>
    </row>
    <row r="20" spans="1:19" s="189" customFormat="1" ht="12" hidden="1" customHeight="1">
      <c r="A20" s="191">
        <f t="shared" si="0"/>
        <v>15</v>
      </c>
      <c r="B20" s="769"/>
      <c r="C20" s="526"/>
      <c r="D20" s="771"/>
      <c r="E20" s="770"/>
      <c r="F20" s="768"/>
      <c r="G20" s="768"/>
      <c r="H20" s="649"/>
      <c r="I20" s="768"/>
      <c r="J20" s="768"/>
      <c r="K20" s="649"/>
      <c r="L20" s="650"/>
      <c r="M20" s="193"/>
      <c r="N20" s="672"/>
      <c r="O20" s="673"/>
      <c r="P20" s="674"/>
      <c r="Q20" s="646"/>
    </row>
    <row r="21" spans="1:19" s="189" customFormat="1" ht="12" hidden="1" customHeight="1">
      <c r="A21" s="191">
        <f t="shared" si="0"/>
        <v>16</v>
      </c>
      <c r="B21" s="769"/>
      <c r="C21" s="526"/>
      <c r="D21" s="771"/>
      <c r="E21" s="770"/>
      <c r="F21" s="768"/>
      <c r="G21" s="768"/>
      <c r="H21" s="649"/>
      <c r="I21" s="768"/>
      <c r="J21" s="768"/>
      <c r="K21" s="649"/>
      <c r="L21" s="650"/>
      <c r="M21" s="193"/>
      <c r="N21" s="672"/>
      <c r="O21" s="673"/>
      <c r="P21" s="674"/>
      <c r="Q21" s="646"/>
    </row>
    <row r="22" spans="1:19" s="189" customFormat="1" ht="12" hidden="1" customHeight="1">
      <c r="A22" s="191">
        <f t="shared" si="0"/>
        <v>17</v>
      </c>
      <c r="B22" s="769"/>
      <c r="C22" s="526"/>
      <c r="D22" s="771"/>
      <c r="E22" s="770"/>
      <c r="F22" s="768"/>
      <c r="G22" s="768"/>
      <c r="H22" s="649"/>
      <c r="I22" s="768"/>
      <c r="J22" s="768"/>
      <c r="K22" s="649"/>
      <c r="L22" s="650"/>
      <c r="M22" s="193"/>
      <c r="N22" s="672"/>
      <c r="O22" s="673"/>
      <c r="P22" s="674"/>
      <c r="Q22" s="646"/>
    </row>
    <row r="23" spans="1:19" s="189" customFormat="1" ht="12" hidden="1" customHeight="1">
      <c r="A23" s="191">
        <f t="shared" si="0"/>
        <v>18</v>
      </c>
      <c r="B23" s="769"/>
      <c r="C23" s="526"/>
      <c r="D23" s="771"/>
      <c r="E23" s="770"/>
      <c r="F23" s="768"/>
      <c r="G23" s="768"/>
      <c r="H23" s="649"/>
      <c r="I23" s="768"/>
      <c r="J23" s="768"/>
      <c r="K23" s="649"/>
      <c r="L23" s="650"/>
      <c r="M23" s="193"/>
      <c r="N23" s="672"/>
      <c r="O23" s="673"/>
      <c r="P23" s="674"/>
      <c r="Q23" s="646"/>
    </row>
    <row r="24" spans="1:19" s="189" customFormat="1" ht="12" hidden="1" customHeight="1">
      <c r="A24" s="191">
        <f t="shared" si="0"/>
        <v>19</v>
      </c>
      <c r="B24" s="769"/>
      <c r="C24" s="526"/>
      <c r="D24" s="771"/>
      <c r="E24" s="770"/>
      <c r="F24" s="768"/>
      <c r="G24" s="768"/>
      <c r="H24" s="649"/>
      <c r="I24" s="768"/>
      <c r="J24" s="768"/>
      <c r="K24" s="649"/>
      <c r="L24" s="650"/>
      <c r="M24" s="193"/>
      <c r="N24" s="672"/>
      <c r="O24" s="673"/>
      <c r="P24" s="674"/>
      <c r="Q24" s="646"/>
    </row>
    <row r="25" spans="1:19" s="189" customFormat="1" ht="12" hidden="1" customHeight="1">
      <c r="A25" s="191">
        <f t="shared" si="0"/>
        <v>20</v>
      </c>
      <c r="B25" s="769"/>
      <c r="C25" s="526"/>
      <c r="D25" s="771"/>
      <c r="E25" s="770"/>
      <c r="F25" s="768"/>
      <c r="G25" s="768"/>
      <c r="H25" s="649"/>
      <c r="I25" s="768"/>
      <c r="J25" s="768"/>
      <c r="K25" s="649"/>
      <c r="L25" s="650"/>
      <c r="M25" s="193"/>
      <c r="N25" s="672"/>
      <c r="O25" s="673"/>
      <c r="P25" s="674"/>
      <c r="Q25" s="646"/>
    </row>
    <row r="26" spans="1:19" s="189" customFormat="1" ht="12" hidden="1" customHeight="1">
      <c r="A26" s="191">
        <f t="shared" si="0"/>
        <v>21</v>
      </c>
      <c r="B26" s="769"/>
      <c r="C26" s="526"/>
      <c r="D26" s="771"/>
      <c r="E26" s="770"/>
      <c r="F26" s="768"/>
      <c r="G26" s="768"/>
      <c r="H26" s="649"/>
      <c r="I26" s="768"/>
      <c r="J26" s="768"/>
      <c r="K26" s="649"/>
      <c r="L26" s="650"/>
      <c r="M26" s="193"/>
      <c r="N26" s="672"/>
      <c r="O26" s="673"/>
      <c r="P26" s="674"/>
      <c r="Q26" s="646"/>
    </row>
    <row r="27" spans="1:19" s="189" customFormat="1" ht="12" hidden="1" customHeight="1">
      <c r="A27" s="191">
        <f t="shared" si="0"/>
        <v>22</v>
      </c>
      <c r="B27" s="769"/>
      <c r="C27" s="526"/>
      <c r="D27" s="771"/>
      <c r="E27" s="770"/>
      <c r="F27" s="768"/>
      <c r="G27" s="768"/>
      <c r="H27" s="649"/>
      <c r="I27" s="768"/>
      <c r="J27" s="768"/>
      <c r="K27" s="649"/>
      <c r="L27" s="650"/>
      <c r="M27" s="193"/>
      <c r="N27" s="672"/>
      <c r="O27" s="673"/>
      <c r="P27" s="674"/>
      <c r="Q27" s="646"/>
    </row>
    <row r="28" spans="1:19" s="189" customFormat="1" ht="12" hidden="1" customHeight="1">
      <c r="A28" s="191">
        <f t="shared" si="0"/>
        <v>23</v>
      </c>
      <c r="B28" s="769"/>
      <c r="C28" s="526"/>
      <c r="D28" s="771"/>
      <c r="E28" s="770"/>
      <c r="F28" s="768"/>
      <c r="G28" s="768"/>
      <c r="H28" s="649"/>
      <c r="I28" s="768"/>
      <c r="J28" s="768"/>
      <c r="K28" s="649"/>
      <c r="L28" s="650"/>
      <c r="M28" s="193"/>
      <c r="N28" s="672"/>
      <c r="O28" s="673"/>
      <c r="P28" s="674"/>
      <c r="Q28" s="646"/>
    </row>
    <row r="29" spans="1:19" s="189" customFormat="1" ht="12" hidden="1" customHeight="1">
      <c r="A29" s="191">
        <f t="shared" si="0"/>
        <v>24</v>
      </c>
      <c r="B29" s="769"/>
      <c r="C29" s="526"/>
      <c r="D29" s="771"/>
      <c r="E29" s="770"/>
      <c r="F29" s="768"/>
      <c r="G29" s="768"/>
      <c r="H29" s="649"/>
      <c r="I29" s="768"/>
      <c r="J29" s="768"/>
      <c r="K29" s="649"/>
      <c r="L29" s="650"/>
      <c r="M29" s="193"/>
      <c r="N29" s="672"/>
      <c r="O29" s="673"/>
      <c r="P29" s="674"/>
      <c r="Q29" s="646"/>
    </row>
    <row r="30" spans="1:19" s="187" customFormat="1" ht="12" hidden="1" customHeight="1">
      <c r="A30" s="191">
        <f t="shared" si="0"/>
        <v>25</v>
      </c>
      <c r="B30" s="769"/>
      <c r="C30" s="526"/>
      <c r="D30" s="771"/>
      <c r="E30" s="770"/>
      <c r="F30" s="768"/>
      <c r="G30" s="768"/>
      <c r="H30" s="649"/>
      <c r="I30" s="768"/>
      <c r="J30" s="768"/>
      <c r="K30" s="649"/>
      <c r="L30" s="650"/>
      <c r="M30" s="193"/>
      <c r="N30" s="672"/>
      <c r="O30" s="673"/>
      <c r="P30" s="674"/>
      <c r="Q30" s="646"/>
      <c r="S30" s="574"/>
    </row>
    <row r="31" spans="1:19" s="187" customFormat="1" ht="12" hidden="1" customHeight="1">
      <c r="A31" s="191">
        <f t="shared" si="0"/>
        <v>26</v>
      </c>
      <c r="B31" s="769"/>
      <c r="C31" s="526"/>
      <c r="D31" s="771"/>
      <c r="E31" s="770"/>
      <c r="F31" s="768"/>
      <c r="G31" s="768"/>
      <c r="H31" s="649"/>
      <c r="I31" s="768"/>
      <c r="J31" s="768"/>
      <c r="K31" s="649"/>
      <c r="L31" s="650"/>
      <c r="M31" s="193"/>
      <c r="N31" s="672"/>
      <c r="O31" s="673"/>
      <c r="P31" s="674"/>
      <c r="Q31" s="646"/>
      <c r="S31" s="574"/>
    </row>
    <row r="32" spans="1:19" s="187" customFormat="1" ht="12" hidden="1" customHeight="1">
      <c r="A32" s="191">
        <f t="shared" si="0"/>
        <v>27</v>
      </c>
      <c r="B32" s="769"/>
      <c r="C32" s="526"/>
      <c r="D32" s="771"/>
      <c r="E32" s="770"/>
      <c r="F32" s="768"/>
      <c r="G32" s="768"/>
      <c r="H32" s="649"/>
      <c r="I32" s="768"/>
      <c r="J32" s="768"/>
      <c r="K32" s="649"/>
      <c r="L32" s="650"/>
      <c r="M32" s="193"/>
      <c r="N32" s="672"/>
      <c r="O32" s="673"/>
      <c r="P32" s="674"/>
      <c r="Q32" s="646"/>
      <c r="S32" s="574"/>
    </row>
    <row r="33" spans="1:19" s="187" customFormat="1" ht="12" hidden="1" customHeight="1">
      <c r="A33" s="191">
        <f t="shared" si="0"/>
        <v>28</v>
      </c>
      <c r="B33" s="769"/>
      <c r="C33" s="526"/>
      <c r="D33" s="771"/>
      <c r="E33" s="770"/>
      <c r="F33" s="768"/>
      <c r="G33" s="768"/>
      <c r="H33" s="649"/>
      <c r="I33" s="768"/>
      <c r="J33" s="768"/>
      <c r="K33" s="649"/>
      <c r="L33" s="650"/>
      <c r="M33" s="193"/>
      <c r="N33" s="672"/>
      <c r="O33" s="673"/>
      <c r="P33" s="674"/>
      <c r="Q33" s="646"/>
      <c r="S33" s="574"/>
    </row>
    <row r="34" spans="1:19" s="187" customFormat="1" ht="35.1" customHeight="1">
      <c r="A34" s="943" t="s">
        <v>40</v>
      </c>
      <c r="B34" s="944"/>
      <c r="C34" s="944"/>
      <c r="D34" s="944"/>
      <c r="E34" s="944"/>
      <c r="F34" s="944"/>
      <c r="G34" s="944"/>
      <c r="H34" s="944"/>
      <c r="I34" s="944"/>
      <c r="J34" s="944"/>
      <c r="K34" s="944"/>
      <c r="L34" s="944"/>
      <c r="M34" s="944"/>
      <c r="N34" s="945"/>
      <c r="O34" s="328"/>
      <c r="P34" s="353">
        <f>SUM(P6:P33)</f>
        <v>0.25</v>
      </c>
      <c r="Q34" s="349"/>
    </row>
    <row r="35" spans="1:19" s="189" customFormat="1" ht="35.1" customHeight="1" thickBot="1">
      <c r="A35" s="964" t="s">
        <v>56</v>
      </c>
      <c r="B35" s="965"/>
      <c r="C35" s="965"/>
      <c r="D35" s="965"/>
      <c r="E35" s="965"/>
      <c r="F35" s="965"/>
      <c r="G35" s="965"/>
      <c r="H35" s="965"/>
      <c r="I35" s="965"/>
      <c r="J35" s="965"/>
      <c r="K35" s="965"/>
      <c r="L35" s="965"/>
      <c r="M35" s="965"/>
      <c r="N35" s="966"/>
      <c r="O35" s="329"/>
      <c r="P35" s="352">
        <f>P34</f>
        <v>0.25</v>
      </c>
      <c r="Q35" s="350"/>
    </row>
    <row r="36" spans="1:19" s="197" customFormat="1" ht="19.5" customHeight="1">
      <c r="A36" s="195" t="s">
        <v>57</v>
      </c>
      <c r="B36" s="963" t="s">
        <v>58</v>
      </c>
      <c r="C36" s="963"/>
      <c r="D36" s="963"/>
      <c r="E36" s="963"/>
      <c r="F36" s="963"/>
      <c r="G36" s="963"/>
      <c r="H36" s="963"/>
      <c r="I36" s="963"/>
      <c r="J36" s="963"/>
      <c r="K36" s="963"/>
      <c r="L36" s="963"/>
      <c r="M36" s="963"/>
      <c r="N36" s="963"/>
      <c r="O36" s="963"/>
      <c r="P36" s="196"/>
    </row>
    <row r="37" spans="1:19" s="161" customFormat="1" ht="18.75" customHeight="1">
      <c r="A37" s="250">
        <v>1</v>
      </c>
      <c r="B37" s="160" t="s">
        <v>67</v>
      </c>
      <c r="C37" s="160"/>
      <c r="D37" s="160"/>
      <c r="E37" s="160"/>
      <c r="F37" s="160"/>
      <c r="G37" s="160"/>
      <c r="K37" s="324"/>
      <c r="L37" s="162"/>
      <c r="M37" s="162"/>
      <c r="N37" s="162"/>
      <c r="O37" s="162"/>
    </row>
    <row r="38" spans="1:19" s="159" customFormat="1" ht="18.75" customHeight="1">
      <c r="A38" s="250">
        <v>2</v>
      </c>
      <c r="B38" s="160" t="s">
        <v>69</v>
      </c>
      <c r="C38" s="160"/>
      <c r="D38" s="160"/>
      <c r="E38" s="160"/>
      <c r="F38" s="163"/>
      <c r="G38" s="163"/>
      <c r="H38" s="163"/>
      <c r="I38" s="163"/>
      <c r="J38" s="163"/>
      <c r="K38" s="161"/>
    </row>
    <row r="39" spans="1:19" s="159" customFormat="1" ht="42.75" customHeight="1">
      <c r="A39" s="250">
        <v>3</v>
      </c>
      <c r="B39" s="962" t="s">
        <v>295</v>
      </c>
      <c r="C39" s="962"/>
      <c r="D39" s="962"/>
      <c r="E39" s="962"/>
      <c r="F39" s="962"/>
      <c r="G39" s="962"/>
      <c r="H39" s="962"/>
      <c r="I39" s="163"/>
      <c r="J39" s="163"/>
      <c r="K39" s="161"/>
    </row>
    <row r="40" spans="1:19" s="159" customFormat="1" ht="18.75" customHeight="1">
      <c r="A40" s="250">
        <v>4</v>
      </c>
      <c r="B40" s="159" t="s">
        <v>301</v>
      </c>
      <c r="C40" s="160"/>
      <c r="D40" s="160"/>
      <c r="E40" s="160"/>
      <c r="F40" s="163"/>
      <c r="G40" s="163"/>
      <c r="H40" s="163"/>
      <c r="I40" s="163"/>
      <c r="J40" s="163"/>
      <c r="K40" s="161"/>
    </row>
    <row r="41" spans="1:19" s="159" customFormat="1" ht="18.75" customHeight="1">
      <c r="A41" s="250">
        <v>5</v>
      </c>
      <c r="B41" s="160" t="s">
        <v>59</v>
      </c>
      <c r="C41" s="160"/>
      <c r="D41" s="160"/>
      <c r="E41" s="160"/>
      <c r="F41" s="163"/>
      <c r="G41" s="163"/>
      <c r="H41" s="163"/>
      <c r="I41" s="163"/>
      <c r="J41" s="163"/>
      <c r="K41" s="161"/>
    </row>
    <row r="42" spans="1:19" s="161" customFormat="1" ht="18.75" customHeight="1">
      <c r="A42" s="250">
        <v>6</v>
      </c>
      <c r="B42" s="160" t="s">
        <v>296</v>
      </c>
      <c r="C42" s="160"/>
      <c r="D42" s="160"/>
      <c r="E42" s="160"/>
      <c r="F42" s="160"/>
      <c r="G42" s="160"/>
      <c r="K42" s="324"/>
      <c r="L42" s="162"/>
      <c r="M42" s="162"/>
      <c r="N42" s="162"/>
      <c r="O42" s="162"/>
    </row>
    <row r="43" spans="1:19" s="161" customFormat="1" ht="55.5" customHeight="1">
      <c r="A43" s="250">
        <v>7</v>
      </c>
      <c r="B43" s="950" t="s">
        <v>422</v>
      </c>
      <c r="C43" s="950"/>
      <c r="D43" s="950"/>
      <c r="E43" s="950"/>
      <c r="F43" s="950"/>
      <c r="G43" s="950"/>
      <c r="H43" s="950"/>
      <c r="I43" s="950"/>
      <c r="J43" s="950"/>
      <c r="K43" s="950"/>
      <c r="L43" s="950"/>
      <c r="M43" s="950"/>
      <c r="N43" s="162"/>
      <c r="O43" s="162"/>
    </row>
    <row r="44" spans="1:19" s="161" customFormat="1" ht="18.75" customHeight="1">
      <c r="A44" s="250">
        <v>8</v>
      </c>
      <c r="B44" s="160" t="s">
        <v>421</v>
      </c>
      <c r="C44" s="160"/>
      <c r="D44" s="160"/>
      <c r="E44" s="160"/>
      <c r="F44" s="160"/>
      <c r="G44" s="160"/>
      <c r="K44" s="324"/>
      <c r="L44" s="162"/>
      <c r="M44" s="162"/>
      <c r="N44" s="162"/>
      <c r="O44" s="162"/>
    </row>
    <row r="45" spans="1:19" s="161" customFormat="1" ht="18.75" customHeight="1">
      <c r="A45" s="250">
        <v>9</v>
      </c>
      <c r="B45" s="166" t="s">
        <v>70</v>
      </c>
      <c r="C45" s="166"/>
      <c r="D45" s="166"/>
      <c r="E45" s="166"/>
      <c r="F45" s="160"/>
      <c r="G45" s="160"/>
      <c r="K45" s="324"/>
      <c r="L45" s="162"/>
      <c r="M45" s="162"/>
      <c r="N45" s="162"/>
      <c r="O45" s="162"/>
    </row>
    <row r="46" spans="1:19" s="161" customFormat="1" ht="15" customHeight="1">
      <c r="B46" s="166"/>
      <c r="C46" s="166"/>
      <c r="D46" s="166"/>
      <c r="E46" s="166"/>
      <c r="F46" s="160"/>
      <c r="G46" s="160"/>
      <c r="K46" s="324"/>
      <c r="L46" s="162"/>
      <c r="M46" s="162"/>
      <c r="N46" s="162"/>
      <c r="O46" s="162"/>
    </row>
    <row r="47" spans="1:19" s="197" customFormat="1" ht="15" customHeight="1">
      <c r="A47" s="160"/>
      <c r="B47" s="160"/>
      <c r="C47" s="160"/>
      <c r="D47" s="160"/>
      <c r="E47" s="160"/>
      <c r="F47" s="198"/>
      <c r="G47" s="198"/>
      <c r="H47" s="161"/>
      <c r="I47" s="161"/>
      <c r="J47" s="161"/>
      <c r="K47" s="211"/>
      <c r="L47" s="199"/>
      <c r="M47" s="199"/>
      <c r="N47" s="199"/>
      <c r="O47" s="199"/>
      <c r="P47" s="200"/>
    </row>
    <row r="48" spans="1:19" ht="15" customHeight="1">
      <c r="B48" s="146"/>
      <c r="C48" s="146"/>
      <c r="D48" s="146"/>
      <c r="E48" s="146"/>
      <c r="F48" s="138"/>
      <c r="G48" s="138"/>
      <c r="H48" s="139"/>
      <c r="I48" s="140"/>
      <c r="J48" s="140"/>
    </row>
    <row r="49" spans="3:10" ht="15" customHeight="1">
      <c r="C49" s="138"/>
      <c r="D49" s="138"/>
      <c r="E49" s="138"/>
      <c r="F49" s="138"/>
      <c r="G49" s="138"/>
      <c r="H49" s="139"/>
      <c r="I49" s="140"/>
      <c r="J49" s="140"/>
    </row>
    <row r="50" spans="3:10" ht="15" customHeight="1">
      <c r="C50" s="138"/>
      <c r="D50" s="138"/>
      <c r="E50" s="138"/>
      <c r="F50" s="138"/>
      <c r="G50" s="138"/>
      <c r="H50" s="139"/>
      <c r="I50" s="140"/>
      <c r="J50" s="140"/>
    </row>
    <row r="51" spans="3:10" ht="12" customHeight="1">
      <c r="C51" s="138"/>
      <c r="D51" s="138"/>
      <c r="E51" s="138"/>
      <c r="F51" s="138"/>
      <c r="G51" s="138"/>
      <c r="H51" s="139"/>
      <c r="I51" s="140"/>
      <c r="J51" s="140"/>
    </row>
    <row r="52" spans="3:10" ht="12" customHeight="1">
      <c r="C52" s="138"/>
      <c r="D52" s="138"/>
      <c r="E52" s="138"/>
      <c r="F52" s="138"/>
      <c r="G52" s="138"/>
      <c r="H52" s="139"/>
      <c r="I52" s="140"/>
      <c r="J52" s="140"/>
    </row>
    <row r="53" spans="3:10" ht="12" customHeight="1">
      <c r="C53" s="138"/>
      <c r="D53" s="138"/>
      <c r="E53" s="138"/>
      <c r="F53" s="138"/>
      <c r="G53" s="138"/>
      <c r="H53" s="139"/>
      <c r="I53" s="140"/>
      <c r="J53" s="140"/>
    </row>
    <row r="54" spans="3:10" ht="12" customHeight="1">
      <c r="C54" s="138"/>
      <c r="D54" s="138"/>
      <c r="E54" s="138"/>
      <c r="F54" s="138"/>
      <c r="G54" s="138"/>
      <c r="H54" s="139"/>
      <c r="I54" s="140"/>
      <c r="J54" s="140"/>
    </row>
    <row r="55" spans="3:10" ht="12" customHeight="1">
      <c r="C55" s="138"/>
      <c r="D55" s="138"/>
      <c r="E55" s="138"/>
      <c r="F55" s="138"/>
      <c r="G55" s="138"/>
      <c r="H55" s="139"/>
      <c r="I55" s="140"/>
      <c r="J55" s="140"/>
    </row>
    <row r="56" spans="3:10" ht="12" customHeight="1">
      <c r="C56" s="138"/>
      <c r="D56" s="138"/>
      <c r="E56" s="138"/>
      <c r="F56" s="138"/>
      <c r="G56" s="138"/>
      <c r="H56" s="139"/>
      <c r="I56" s="140"/>
      <c r="J56" s="140"/>
    </row>
    <row r="57" spans="3:10" ht="12" customHeight="1">
      <c r="C57" s="138"/>
      <c r="D57" s="138"/>
      <c r="E57" s="138"/>
      <c r="F57" s="138"/>
      <c r="G57" s="138"/>
      <c r="H57" s="139"/>
      <c r="I57" s="140"/>
      <c r="J57" s="140"/>
    </row>
    <row r="58" spans="3:10" ht="12" customHeight="1">
      <c r="C58" s="138"/>
      <c r="D58" s="138"/>
      <c r="E58" s="138"/>
      <c r="F58" s="138"/>
      <c r="G58" s="138"/>
      <c r="H58" s="139"/>
      <c r="I58" s="140"/>
      <c r="J58" s="140"/>
    </row>
    <row r="59" spans="3:10" ht="12" customHeight="1">
      <c r="C59" s="138"/>
      <c r="D59" s="138"/>
      <c r="E59" s="138"/>
      <c r="F59" s="138"/>
      <c r="G59" s="138"/>
      <c r="H59" s="139"/>
      <c r="I59" s="140"/>
      <c r="J59" s="140"/>
    </row>
    <row r="60" spans="3:10" ht="12" customHeight="1">
      <c r="C60" s="138"/>
      <c r="D60" s="138"/>
      <c r="E60" s="138"/>
      <c r="F60" s="138"/>
      <c r="G60" s="138"/>
      <c r="H60" s="139"/>
      <c r="I60" s="140"/>
      <c r="J60" s="140"/>
    </row>
    <row r="61" spans="3:10" ht="12" customHeight="1">
      <c r="C61" s="138"/>
      <c r="D61" s="138"/>
      <c r="E61" s="138"/>
      <c r="F61" s="138"/>
      <c r="G61" s="138"/>
      <c r="H61" s="139"/>
      <c r="I61" s="140"/>
      <c r="J61" s="140"/>
    </row>
    <row r="62" spans="3:10" ht="12" customHeight="1">
      <c r="C62" s="138"/>
      <c r="D62" s="138"/>
      <c r="E62" s="138"/>
      <c r="F62" s="138"/>
      <c r="G62" s="138"/>
      <c r="H62" s="139"/>
      <c r="I62" s="140"/>
      <c r="J62" s="140"/>
    </row>
    <row r="63" spans="3:10" ht="12" customHeight="1">
      <c r="C63" s="138"/>
      <c r="D63" s="138"/>
      <c r="E63" s="138"/>
      <c r="F63" s="138"/>
      <c r="G63" s="138"/>
      <c r="H63" s="139"/>
      <c r="I63" s="140"/>
      <c r="J63" s="140"/>
    </row>
    <row r="64" spans="3:10" ht="12" customHeight="1">
      <c r="C64" s="138"/>
      <c r="D64" s="138"/>
      <c r="E64" s="138"/>
      <c r="F64" s="138"/>
      <c r="G64" s="138"/>
      <c r="H64" s="139"/>
      <c r="I64" s="140"/>
      <c r="J64" s="140"/>
    </row>
    <row r="65" spans="3:10" ht="12" customHeight="1">
      <c r="C65" s="138"/>
      <c r="D65" s="138"/>
      <c r="E65" s="138"/>
      <c r="F65" s="138"/>
      <c r="G65" s="138"/>
      <c r="H65" s="139"/>
      <c r="I65" s="140"/>
      <c r="J65" s="140"/>
    </row>
    <row r="66" spans="3:10" ht="12" customHeight="1">
      <c r="C66" s="138"/>
      <c r="D66" s="138"/>
      <c r="E66" s="138"/>
      <c r="F66" s="138"/>
      <c r="G66" s="138"/>
      <c r="H66" s="139"/>
      <c r="I66" s="140"/>
      <c r="J66" s="140"/>
    </row>
    <row r="67" spans="3:10" ht="12" customHeight="1">
      <c r="C67" s="138"/>
      <c r="D67" s="138"/>
      <c r="E67" s="138"/>
      <c r="F67" s="138"/>
      <c r="G67" s="138"/>
      <c r="H67" s="139"/>
      <c r="I67" s="140"/>
      <c r="J67" s="140"/>
    </row>
    <row r="68" spans="3:10" ht="12" customHeight="1">
      <c r="C68" s="138"/>
      <c r="D68" s="138"/>
      <c r="E68" s="138"/>
      <c r="F68" s="138"/>
      <c r="G68" s="138"/>
      <c r="H68" s="139"/>
      <c r="I68" s="140"/>
      <c r="J68" s="140"/>
    </row>
    <row r="69" spans="3:10" ht="12" customHeight="1">
      <c r="C69" s="138"/>
      <c r="D69" s="138"/>
      <c r="E69" s="138"/>
      <c r="F69" s="138"/>
      <c r="G69" s="138"/>
      <c r="H69" s="139"/>
      <c r="I69" s="140"/>
      <c r="J69" s="140"/>
    </row>
    <row r="70" spans="3:10" ht="12" customHeight="1">
      <c r="C70" s="138"/>
      <c r="D70" s="138"/>
      <c r="E70" s="138"/>
      <c r="F70" s="138"/>
      <c r="G70" s="138"/>
      <c r="H70" s="139"/>
      <c r="I70" s="140"/>
      <c r="J70" s="140"/>
    </row>
    <row r="71" spans="3:10" ht="12" customHeight="1">
      <c r="C71" s="138"/>
      <c r="D71" s="138"/>
      <c r="E71" s="138"/>
      <c r="F71" s="138"/>
      <c r="G71" s="138"/>
      <c r="H71" s="139"/>
      <c r="I71" s="140"/>
      <c r="J71" s="140"/>
    </row>
    <row r="72" spans="3:10" ht="12" customHeight="1">
      <c r="C72" s="138"/>
      <c r="D72" s="138"/>
      <c r="E72" s="138"/>
      <c r="F72" s="138"/>
      <c r="G72" s="138"/>
      <c r="H72" s="139"/>
      <c r="I72" s="140"/>
      <c r="J72" s="140"/>
    </row>
    <row r="73" spans="3:10" ht="12" customHeight="1">
      <c r="C73" s="138"/>
      <c r="D73" s="138"/>
      <c r="E73" s="138"/>
      <c r="F73" s="138"/>
      <c r="G73" s="138"/>
      <c r="H73" s="139"/>
      <c r="I73" s="140"/>
      <c r="J73" s="140"/>
    </row>
    <row r="74" spans="3:10" ht="12" customHeight="1">
      <c r="C74" s="138"/>
      <c r="D74" s="138"/>
      <c r="E74" s="138"/>
      <c r="F74" s="138"/>
      <c r="G74" s="138"/>
      <c r="H74" s="139"/>
      <c r="I74" s="140"/>
      <c r="J74" s="140"/>
    </row>
    <row r="75" spans="3:10" ht="12" customHeight="1">
      <c r="C75" s="138"/>
      <c r="D75" s="138"/>
      <c r="E75" s="138"/>
      <c r="F75" s="138"/>
      <c r="G75" s="138"/>
      <c r="H75" s="139"/>
      <c r="I75" s="140"/>
      <c r="J75" s="140"/>
    </row>
    <row r="76" spans="3:10" ht="12" customHeight="1">
      <c r="C76" s="138"/>
      <c r="D76" s="138"/>
      <c r="E76" s="138"/>
      <c r="F76" s="138"/>
      <c r="G76" s="138"/>
      <c r="H76" s="139"/>
      <c r="I76" s="140"/>
      <c r="J76" s="140"/>
    </row>
    <row r="77" spans="3:10" ht="12" customHeight="1">
      <c r="C77" s="138"/>
      <c r="D77" s="138"/>
      <c r="E77" s="138"/>
      <c r="F77" s="138"/>
      <c r="G77" s="138"/>
      <c r="H77" s="139"/>
      <c r="I77" s="140"/>
      <c r="J77" s="140"/>
    </row>
    <row r="78" spans="3:10" ht="12" customHeight="1">
      <c r="C78" s="138"/>
      <c r="D78" s="138"/>
      <c r="E78" s="138"/>
      <c r="F78" s="138"/>
      <c r="G78" s="138"/>
      <c r="H78" s="139"/>
      <c r="I78" s="140"/>
      <c r="J78" s="140"/>
    </row>
    <row r="79" spans="3:10" ht="12" customHeight="1">
      <c r="C79" s="138"/>
      <c r="D79" s="138"/>
      <c r="E79" s="138"/>
      <c r="F79" s="138"/>
      <c r="G79" s="138"/>
      <c r="H79" s="139"/>
      <c r="I79" s="140"/>
      <c r="J79" s="140"/>
    </row>
    <row r="80" spans="3:10" ht="12" customHeight="1">
      <c r="C80" s="138"/>
      <c r="D80" s="138"/>
      <c r="E80" s="138"/>
      <c r="F80" s="138"/>
      <c r="G80" s="138"/>
      <c r="H80" s="139"/>
      <c r="I80" s="140"/>
      <c r="J80" s="140"/>
    </row>
    <row r="81" spans="3:10" ht="12" customHeight="1">
      <c r="C81" s="138"/>
      <c r="D81" s="138"/>
      <c r="E81" s="138"/>
      <c r="F81" s="138"/>
      <c r="G81" s="138"/>
      <c r="H81" s="139"/>
      <c r="I81" s="140"/>
      <c r="J81" s="140"/>
    </row>
    <row r="82" spans="3:10" ht="12" customHeight="1">
      <c r="C82" s="138"/>
      <c r="D82" s="138"/>
      <c r="E82" s="138"/>
      <c r="F82" s="138"/>
      <c r="G82" s="138"/>
      <c r="H82" s="139"/>
      <c r="I82" s="140"/>
      <c r="J82" s="140"/>
    </row>
    <row r="83" spans="3:10" ht="12" customHeight="1">
      <c r="C83" s="138"/>
      <c r="D83" s="138"/>
      <c r="E83" s="138"/>
      <c r="F83" s="138"/>
      <c r="G83" s="138"/>
      <c r="H83" s="139"/>
      <c r="I83" s="140"/>
      <c r="J83" s="140"/>
    </row>
    <row r="84" spans="3:10" ht="12" customHeight="1">
      <c r="C84" s="138"/>
      <c r="D84" s="138"/>
      <c r="E84" s="138"/>
      <c r="F84" s="138"/>
      <c r="G84" s="138"/>
      <c r="H84" s="139"/>
      <c r="I84" s="140"/>
      <c r="J84" s="140"/>
    </row>
    <row r="85" spans="3:10" ht="12" customHeight="1">
      <c r="C85" s="138"/>
      <c r="D85" s="138"/>
      <c r="E85" s="138"/>
      <c r="F85" s="138"/>
      <c r="G85" s="138"/>
      <c r="H85" s="139"/>
      <c r="I85" s="140"/>
      <c r="J85" s="140"/>
    </row>
    <row r="86" spans="3:10" ht="12" customHeight="1">
      <c r="C86" s="138"/>
      <c r="D86" s="138"/>
      <c r="E86" s="138"/>
      <c r="F86" s="138"/>
      <c r="G86" s="138"/>
      <c r="H86" s="139"/>
      <c r="I86" s="140"/>
      <c r="J86" s="140"/>
    </row>
    <row r="87" spans="3:10" ht="12" customHeight="1">
      <c r="C87" s="138"/>
      <c r="D87" s="138"/>
      <c r="E87" s="138"/>
      <c r="F87" s="138"/>
      <c r="G87" s="138"/>
      <c r="H87" s="139"/>
      <c r="I87" s="140"/>
      <c r="J87" s="140"/>
    </row>
    <row r="88" spans="3:10" ht="12" customHeight="1">
      <c r="C88" s="138"/>
      <c r="D88" s="138"/>
      <c r="E88" s="138"/>
      <c r="F88" s="138"/>
      <c r="G88" s="138"/>
      <c r="H88" s="139"/>
      <c r="I88" s="140"/>
      <c r="J88" s="140"/>
    </row>
    <row r="89" spans="3:10" ht="12" customHeight="1">
      <c r="C89" s="138"/>
      <c r="D89" s="138"/>
      <c r="E89" s="138"/>
      <c r="F89" s="138"/>
      <c r="G89" s="138"/>
      <c r="H89" s="139"/>
      <c r="I89" s="140"/>
      <c r="J89" s="140"/>
    </row>
    <row r="90" spans="3:10" ht="12" customHeight="1">
      <c r="C90" s="138"/>
      <c r="D90" s="138"/>
      <c r="E90" s="138"/>
      <c r="F90" s="138"/>
      <c r="G90" s="138"/>
      <c r="H90" s="139"/>
      <c r="I90" s="140"/>
      <c r="J90" s="140"/>
    </row>
    <row r="91" spans="3:10" ht="12" customHeight="1">
      <c r="C91" s="138"/>
      <c r="D91" s="138"/>
      <c r="E91" s="138"/>
      <c r="F91" s="138"/>
      <c r="G91" s="138"/>
      <c r="H91" s="139"/>
      <c r="I91" s="140"/>
      <c r="J91" s="140"/>
    </row>
    <row r="92" spans="3:10" ht="12" customHeight="1">
      <c r="C92" s="138"/>
      <c r="D92" s="138"/>
      <c r="E92" s="138"/>
      <c r="F92" s="138"/>
      <c r="G92" s="138"/>
      <c r="H92" s="139"/>
      <c r="I92" s="140"/>
      <c r="J92" s="140"/>
    </row>
    <row r="93" spans="3:10" ht="12" customHeight="1">
      <c r="C93" s="138"/>
      <c r="D93" s="138"/>
      <c r="E93" s="138"/>
      <c r="F93" s="138"/>
      <c r="G93" s="138"/>
      <c r="H93" s="139"/>
      <c r="I93" s="140"/>
      <c r="J93" s="140"/>
    </row>
    <row r="94" spans="3:10" ht="12" customHeight="1">
      <c r="C94" s="138"/>
      <c r="D94" s="138"/>
      <c r="E94" s="138"/>
      <c r="F94" s="138"/>
      <c r="G94" s="138"/>
      <c r="H94" s="139"/>
      <c r="I94" s="140"/>
      <c r="J94" s="140"/>
    </row>
    <row r="95" spans="3:10" ht="12" customHeight="1">
      <c r="C95" s="138"/>
      <c r="D95" s="138"/>
      <c r="E95" s="138"/>
      <c r="F95" s="138"/>
      <c r="G95" s="138"/>
      <c r="H95" s="139"/>
      <c r="I95" s="140"/>
      <c r="J95" s="140"/>
    </row>
    <row r="96" spans="3:10" ht="12" customHeight="1">
      <c r="C96" s="138"/>
      <c r="D96" s="138"/>
      <c r="E96" s="138"/>
      <c r="F96" s="138"/>
      <c r="G96" s="138"/>
      <c r="H96" s="139"/>
      <c r="I96" s="140"/>
      <c r="J96" s="140"/>
    </row>
    <row r="97" spans="3:10" ht="12" customHeight="1">
      <c r="C97" s="138"/>
      <c r="D97" s="138"/>
      <c r="E97" s="138"/>
      <c r="F97" s="138"/>
      <c r="G97" s="138"/>
      <c r="H97" s="139"/>
      <c r="I97" s="140"/>
      <c r="J97" s="140"/>
    </row>
    <row r="98" spans="3:10" ht="12" customHeight="1">
      <c r="C98" s="138"/>
      <c r="D98" s="138"/>
      <c r="E98" s="138"/>
      <c r="F98" s="138"/>
      <c r="G98" s="138"/>
      <c r="H98" s="139"/>
      <c r="I98" s="140"/>
      <c r="J98" s="140"/>
    </row>
    <row r="99" spans="3:10" ht="12" customHeight="1">
      <c r="C99" s="138"/>
      <c r="D99" s="138"/>
      <c r="E99" s="138"/>
      <c r="F99" s="138"/>
      <c r="G99" s="138"/>
      <c r="H99" s="139"/>
      <c r="I99" s="140"/>
      <c r="J99" s="140"/>
    </row>
    <row r="100" spans="3:10" ht="12" customHeight="1">
      <c r="C100" s="138"/>
      <c r="D100" s="138"/>
      <c r="E100" s="138"/>
      <c r="F100" s="138"/>
      <c r="G100" s="138"/>
      <c r="H100" s="139"/>
      <c r="I100" s="140"/>
      <c r="J100" s="140"/>
    </row>
    <row r="101" spans="3:10" ht="12" customHeight="1">
      <c r="C101" s="138"/>
      <c r="D101" s="138"/>
      <c r="E101" s="138"/>
      <c r="F101" s="138"/>
      <c r="G101" s="138"/>
      <c r="H101" s="139"/>
      <c r="I101" s="140"/>
      <c r="J101" s="140"/>
    </row>
    <row r="102" spans="3:10" ht="12" customHeight="1">
      <c r="C102" s="138"/>
      <c r="D102" s="138"/>
      <c r="E102" s="138"/>
      <c r="F102" s="138"/>
      <c r="G102" s="138"/>
      <c r="H102" s="139"/>
      <c r="I102" s="140"/>
      <c r="J102" s="140"/>
    </row>
    <row r="103" spans="3:10" ht="12" customHeight="1">
      <c r="C103" s="138"/>
      <c r="D103" s="138"/>
      <c r="E103" s="138"/>
      <c r="F103" s="138"/>
      <c r="G103" s="138"/>
      <c r="H103" s="139"/>
      <c r="I103" s="140"/>
      <c r="J103" s="140"/>
    </row>
    <row r="104" spans="3:10" ht="12" customHeight="1">
      <c r="C104" s="138"/>
      <c r="D104" s="138"/>
      <c r="E104" s="138"/>
      <c r="F104" s="138"/>
      <c r="G104" s="138"/>
      <c r="H104" s="139"/>
      <c r="I104" s="140"/>
      <c r="J104" s="140"/>
    </row>
    <row r="105" spans="3:10" ht="12" customHeight="1">
      <c r="C105" s="138"/>
      <c r="D105" s="138"/>
      <c r="E105" s="138"/>
      <c r="F105" s="138"/>
      <c r="G105" s="138"/>
      <c r="H105" s="139"/>
      <c r="I105" s="140"/>
      <c r="J105" s="140"/>
    </row>
    <row r="106" spans="3:10" ht="12" customHeight="1">
      <c r="C106" s="138"/>
      <c r="D106" s="138"/>
      <c r="E106" s="138"/>
      <c r="F106" s="138"/>
      <c r="G106" s="138"/>
      <c r="H106" s="139"/>
      <c r="I106" s="140"/>
      <c r="J106" s="140"/>
    </row>
    <row r="107" spans="3:10" ht="12" customHeight="1">
      <c r="C107" s="138"/>
      <c r="D107" s="138"/>
      <c r="E107" s="138"/>
      <c r="F107" s="138"/>
      <c r="G107" s="138"/>
      <c r="H107" s="139"/>
      <c r="I107" s="140"/>
      <c r="J107" s="140"/>
    </row>
    <row r="108" spans="3:10" ht="12" customHeight="1">
      <c r="C108" s="138"/>
      <c r="D108" s="138"/>
      <c r="E108" s="138"/>
      <c r="F108" s="138"/>
      <c r="G108" s="138"/>
      <c r="H108" s="139"/>
      <c r="I108" s="140"/>
      <c r="J108" s="140"/>
    </row>
    <row r="109" spans="3:10" ht="12" customHeight="1">
      <c r="C109" s="138"/>
      <c r="D109" s="138"/>
      <c r="E109" s="138"/>
      <c r="F109" s="138"/>
      <c r="G109" s="138"/>
      <c r="H109" s="139"/>
      <c r="I109" s="140"/>
      <c r="J109" s="140"/>
    </row>
    <row r="110" spans="3:10" ht="12" customHeight="1">
      <c r="C110" s="138"/>
      <c r="D110" s="138"/>
      <c r="E110" s="138"/>
      <c r="F110" s="138"/>
      <c r="G110" s="138"/>
      <c r="H110" s="139"/>
      <c r="I110" s="140"/>
      <c r="J110" s="140"/>
    </row>
    <row r="111" spans="3:10" ht="12" customHeight="1">
      <c r="C111" s="138"/>
      <c r="D111" s="138"/>
      <c r="E111" s="138"/>
      <c r="F111" s="138"/>
      <c r="G111" s="138"/>
      <c r="H111" s="139"/>
      <c r="I111" s="140"/>
      <c r="J111" s="140"/>
    </row>
    <row r="112" spans="3:10" ht="12" customHeight="1">
      <c r="C112" s="138"/>
      <c r="D112" s="138"/>
      <c r="E112" s="138"/>
      <c r="F112" s="138"/>
      <c r="G112" s="138"/>
      <c r="H112" s="139"/>
      <c r="I112" s="140"/>
      <c r="J112" s="140"/>
    </row>
    <row r="113" spans="3:10" ht="12" customHeight="1">
      <c r="C113" s="138"/>
      <c r="D113" s="138"/>
      <c r="E113" s="138"/>
      <c r="F113" s="138"/>
      <c r="G113" s="138"/>
      <c r="H113" s="139"/>
      <c r="I113" s="140"/>
      <c r="J113" s="140"/>
    </row>
    <row r="114" spans="3:10" ht="12" customHeight="1">
      <c r="C114" s="138"/>
      <c r="D114" s="138"/>
      <c r="E114" s="138"/>
      <c r="F114" s="138"/>
      <c r="G114" s="138"/>
      <c r="H114" s="139"/>
      <c r="I114" s="140"/>
      <c r="J114" s="140"/>
    </row>
    <row r="115" spans="3:10" ht="12" customHeight="1">
      <c r="C115" s="138"/>
      <c r="D115" s="138"/>
      <c r="E115" s="138"/>
      <c r="F115" s="138"/>
      <c r="G115" s="138"/>
      <c r="H115" s="139"/>
      <c r="I115" s="140"/>
      <c r="J115" s="140"/>
    </row>
    <row r="116" spans="3:10" ht="12" customHeight="1">
      <c r="C116" s="138"/>
      <c r="D116" s="138"/>
      <c r="E116" s="138"/>
      <c r="F116" s="138"/>
      <c r="G116" s="138"/>
      <c r="H116" s="139"/>
      <c r="I116" s="140"/>
      <c r="J116" s="140"/>
    </row>
    <row r="117" spans="3:10" ht="12" customHeight="1">
      <c r="C117" s="138"/>
      <c r="D117" s="138"/>
      <c r="E117" s="138"/>
      <c r="F117" s="138"/>
      <c r="G117" s="138"/>
      <c r="H117" s="139"/>
      <c r="I117" s="140"/>
      <c r="J117" s="140"/>
    </row>
    <row r="118" spans="3:10" ht="12" customHeight="1">
      <c r="C118" s="138"/>
      <c r="D118" s="138"/>
      <c r="E118" s="138"/>
      <c r="F118" s="138"/>
      <c r="G118" s="138"/>
      <c r="H118" s="139"/>
      <c r="I118" s="140"/>
      <c r="J118" s="140"/>
    </row>
    <row r="119" spans="3:10" ht="12" customHeight="1">
      <c r="C119" s="138"/>
      <c r="D119" s="138"/>
      <c r="E119" s="138"/>
      <c r="F119" s="138"/>
      <c r="G119" s="138"/>
      <c r="H119" s="139"/>
      <c r="I119" s="140"/>
      <c r="J119" s="140"/>
    </row>
    <row r="120" spans="3:10" ht="12" customHeight="1">
      <c r="C120" s="138"/>
      <c r="D120" s="138"/>
      <c r="E120" s="138"/>
      <c r="F120" s="138"/>
      <c r="G120" s="138"/>
      <c r="H120" s="139"/>
      <c r="I120" s="140"/>
      <c r="J120" s="140"/>
    </row>
    <row r="121" spans="3:10" ht="12" customHeight="1">
      <c r="C121" s="138"/>
      <c r="D121" s="138"/>
      <c r="E121" s="138"/>
      <c r="F121" s="138"/>
      <c r="G121" s="138"/>
      <c r="H121" s="139"/>
      <c r="I121" s="140"/>
      <c r="J121" s="140"/>
    </row>
    <row r="122" spans="3:10" ht="12" customHeight="1">
      <c r="C122" s="138"/>
      <c r="D122" s="138"/>
      <c r="E122" s="138"/>
      <c r="F122" s="138"/>
      <c r="G122" s="138"/>
      <c r="H122" s="139"/>
      <c r="I122" s="140"/>
      <c r="J122" s="140"/>
    </row>
    <row r="123" spans="3:10" ht="12" customHeight="1">
      <c r="C123" s="138"/>
      <c r="D123" s="138"/>
      <c r="E123" s="138"/>
      <c r="F123" s="138"/>
      <c r="G123" s="138"/>
      <c r="H123" s="139"/>
      <c r="I123" s="140"/>
      <c r="J123" s="140"/>
    </row>
    <row r="124" spans="3:10" ht="12" customHeight="1">
      <c r="C124" s="138"/>
      <c r="D124" s="138"/>
      <c r="E124" s="138"/>
      <c r="F124" s="138"/>
      <c r="G124" s="138"/>
      <c r="H124" s="139"/>
      <c r="I124" s="140"/>
      <c r="J124" s="140"/>
    </row>
    <row r="125" spans="3:10" ht="12" customHeight="1">
      <c r="C125" s="138"/>
      <c r="D125" s="138"/>
      <c r="E125" s="138"/>
      <c r="F125" s="138"/>
      <c r="G125" s="138"/>
      <c r="H125" s="139"/>
      <c r="I125" s="140"/>
      <c r="J125" s="140"/>
    </row>
    <row r="126" spans="3:10" ht="12" customHeight="1">
      <c r="C126" s="138"/>
      <c r="D126" s="138"/>
      <c r="E126" s="138"/>
      <c r="F126" s="138"/>
      <c r="G126" s="138"/>
      <c r="H126" s="139"/>
      <c r="I126" s="140"/>
      <c r="J126" s="140"/>
    </row>
    <row r="127" spans="3:10" ht="12" customHeight="1">
      <c r="C127" s="138"/>
      <c r="D127" s="138"/>
      <c r="E127" s="138"/>
      <c r="F127" s="138"/>
      <c r="G127" s="138"/>
      <c r="H127" s="139"/>
      <c r="I127" s="140"/>
      <c r="J127" s="140"/>
    </row>
    <row r="128" spans="3:10" ht="12" customHeight="1">
      <c r="C128" s="138"/>
      <c r="D128" s="138"/>
      <c r="E128" s="138"/>
      <c r="F128" s="138"/>
      <c r="G128" s="138"/>
      <c r="H128" s="139"/>
      <c r="I128" s="140"/>
      <c r="J128" s="140"/>
    </row>
    <row r="129" spans="3:10" ht="12" customHeight="1">
      <c r="C129" s="138"/>
      <c r="D129" s="138"/>
      <c r="E129" s="138"/>
      <c r="F129" s="138"/>
      <c r="G129" s="138"/>
      <c r="H129" s="139"/>
      <c r="I129" s="140"/>
      <c r="J129" s="140"/>
    </row>
    <row r="130" spans="3:10" ht="12" customHeight="1">
      <c r="C130" s="138"/>
      <c r="D130" s="138"/>
      <c r="E130" s="138"/>
      <c r="F130" s="138"/>
      <c r="G130" s="138"/>
      <c r="H130" s="139"/>
      <c r="I130" s="140"/>
      <c r="J130" s="140"/>
    </row>
    <row r="131" spans="3:10" ht="12" customHeight="1">
      <c r="C131" s="138"/>
      <c r="D131" s="138"/>
      <c r="E131" s="138"/>
      <c r="F131" s="138"/>
      <c r="G131" s="138"/>
      <c r="H131" s="139"/>
      <c r="I131" s="140"/>
      <c r="J131" s="140"/>
    </row>
    <row r="132" spans="3:10" ht="12" customHeight="1">
      <c r="C132" s="138"/>
      <c r="D132" s="138"/>
      <c r="E132" s="138"/>
      <c r="F132" s="138"/>
      <c r="G132" s="138"/>
      <c r="H132" s="139"/>
      <c r="I132" s="140"/>
      <c r="J132" s="140"/>
    </row>
    <row r="133" spans="3:10" ht="12" customHeight="1">
      <c r="C133" s="138"/>
      <c r="D133" s="138"/>
      <c r="E133" s="138"/>
      <c r="F133" s="138"/>
      <c r="G133" s="138"/>
      <c r="H133" s="139"/>
      <c r="I133" s="140"/>
      <c r="J133" s="140"/>
    </row>
    <row r="134" spans="3:10" ht="12" customHeight="1">
      <c r="C134" s="138"/>
      <c r="D134" s="138"/>
      <c r="E134" s="138"/>
      <c r="F134" s="138"/>
      <c r="G134" s="138"/>
      <c r="H134" s="139"/>
      <c r="I134" s="140"/>
      <c r="J134" s="140"/>
    </row>
    <row r="135" spans="3:10" ht="12" customHeight="1">
      <c r="C135" s="138"/>
      <c r="D135" s="138"/>
      <c r="E135" s="138"/>
      <c r="F135" s="138"/>
      <c r="G135" s="138"/>
      <c r="H135" s="139"/>
      <c r="I135" s="140"/>
      <c r="J135" s="140"/>
    </row>
    <row r="136" spans="3:10" ht="12" customHeight="1">
      <c r="C136" s="138"/>
      <c r="D136" s="138"/>
      <c r="E136" s="138"/>
      <c r="F136" s="138"/>
      <c r="G136" s="138"/>
      <c r="H136" s="139"/>
      <c r="I136" s="140"/>
      <c r="J136" s="140"/>
    </row>
    <row r="137" spans="3:10" ht="12" customHeight="1">
      <c r="C137" s="138"/>
      <c r="D137" s="138"/>
      <c r="E137" s="138"/>
      <c r="F137" s="138"/>
      <c r="G137" s="138"/>
      <c r="H137" s="139"/>
      <c r="I137" s="140"/>
      <c r="J137" s="140"/>
    </row>
    <row r="138" spans="3:10" ht="12" customHeight="1">
      <c r="C138" s="138"/>
      <c r="D138" s="138"/>
      <c r="E138" s="138"/>
      <c r="F138" s="138"/>
      <c r="G138" s="138"/>
      <c r="H138" s="139"/>
      <c r="I138" s="140"/>
      <c r="J138" s="140"/>
    </row>
    <row r="139" spans="3:10" ht="12" customHeight="1">
      <c r="C139" s="138"/>
      <c r="D139" s="138"/>
      <c r="E139" s="138"/>
      <c r="F139" s="138"/>
      <c r="G139" s="138"/>
      <c r="H139" s="139"/>
      <c r="I139" s="140"/>
      <c r="J139" s="140"/>
    </row>
    <row r="140" spans="3:10" ht="12" customHeight="1">
      <c r="C140" s="138"/>
      <c r="D140" s="138"/>
      <c r="E140" s="138"/>
      <c r="F140" s="138"/>
      <c r="G140" s="138"/>
      <c r="H140" s="139"/>
      <c r="I140" s="140"/>
      <c r="J140" s="140"/>
    </row>
    <row r="141" spans="3:10" ht="12" customHeight="1">
      <c r="C141" s="138"/>
      <c r="D141" s="138"/>
      <c r="E141" s="138"/>
      <c r="F141" s="138"/>
      <c r="G141" s="138"/>
      <c r="H141" s="139"/>
      <c r="I141" s="140"/>
      <c r="J141" s="140"/>
    </row>
    <row r="142" spans="3:10" ht="12" customHeight="1">
      <c r="C142" s="138"/>
      <c r="D142" s="138"/>
      <c r="E142" s="138"/>
      <c r="F142" s="138"/>
      <c r="G142" s="138"/>
      <c r="H142" s="139"/>
      <c r="I142" s="140"/>
      <c r="J142" s="140"/>
    </row>
    <row r="143" spans="3:10" ht="12" customHeight="1">
      <c r="C143" s="138"/>
      <c r="D143" s="138"/>
      <c r="E143" s="138"/>
      <c r="F143" s="138"/>
      <c r="G143" s="138"/>
      <c r="H143" s="139"/>
      <c r="I143" s="140"/>
      <c r="J143" s="140"/>
    </row>
    <row r="144" spans="3:10" ht="12" customHeight="1">
      <c r="C144" s="138"/>
      <c r="D144" s="138"/>
      <c r="E144" s="138"/>
      <c r="F144" s="138"/>
      <c r="G144" s="138"/>
      <c r="H144" s="139"/>
      <c r="I144" s="140"/>
      <c r="J144" s="140"/>
    </row>
    <row r="145" spans="3:10" ht="12" customHeight="1">
      <c r="C145" s="138"/>
      <c r="D145" s="138"/>
      <c r="E145" s="138"/>
      <c r="F145" s="138"/>
      <c r="G145" s="138"/>
      <c r="H145" s="139"/>
      <c r="I145" s="140"/>
      <c r="J145" s="140"/>
    </row>
    <row r="146" spans="3:10" ht="12" customHeight="1">
      <c r="C146" s="138"/>
      <c r="D146" s="138"/>
      <c r="E146" s="138"/>
      <c r="F146" s="138"/>
      <c r="G146" s="138"/>
      <c r="H146" s="139"/>
      <c r="I146" s="140"/>
      <c r="J146" s="140"/>
    </row>
    <row r="147" spans="3:10" ht="12" customHeight="1">
      <c r="C147" s="138"/>
      <c r="D147" s="138"/>
      <c r="E147" s="138"/>
      <c r="F147" s="138"/>
      <c r="G147" s="138"/>
      <c r="H147" s="139"/>
      <c r="I147" s="140"/>
      <c r="J147" s="140"/>
    </row>
    <row r="148" spans="3:10" ht="12" customHeight="1">
      <c r="C148" s="138"/>
      <c r="D148" s="138"/>
      <c r="E148" s="138"/>
      <c r="F148" s="138"/>
      <c r="G148" s="138"/>
      <c r="H148" s="139"/>
      <c r="I148" s="140"/>
      <c r="J148" s="140"/>
    </row>
    <row r="149" spans="3:10" ht="12" customHeight="1">
      <c r="C149" s="138"/>
      <c r="D149" s="138"/>
      <c r="E149" s="138"/>
      <c r="F149" s="138"/>
      <c r="G149" s="138"/>
      <c r="H149" s="139"/>
      <c r="I149" s="140"/>
      <c r="J149" s="140"/>
    </row>
    <row r="150" spans="3:10" ht="12" customHeight="1">
      <c r="C150" s="138"/>
      <c r="D150" s="138"/>
      <c r="E150" s="138"/>
      <c r="F150" s="138"/>
      <c r="G150" s="138"/>
      <c r="H150" s="139"/>
      <c r="I150" s="140"/>
      <c r="J150" s="140"/>
    </row>
  </sheetData>
  <mergeCells count="18">
    <mergeCell ref="B43:M43"/>
    <mergeCell ref="I4:K4"/>
    <mergeCell ref="L4:L5"/>
    <mergeCell ref="M4:M5"/>
    <mergeCell ref="B4:B5"/>
    <mergeCell ref="C4:C5"/>
    <mergeCell ref="D4:D5"/>
    <mergeCell ref="E4:E5"/>
    <mergeCell ref="F4:H4"/>
    <mergeCell ref="B39:H39"/>
    <mergeCell ref="B36:O36"/>
    <mergeCell ref="O4:O5"/>
    <mergeCell ref="A35:N35"/>
    <mergeCell ref="Q4:Q5"/>
    <mergeCell ref="A34:N34"/>
    <mergeCell ref="P4:P5"/>
    <mergeCell ref="A4:A5"/>
    <mergeCell ref="N4:N5"/>
  </mergeCells>
  <phoneticPr fontId="2" type="noConversion"/>
  <pageMargins left="0.74803149606299213" right="0.74803149606299213" top="0.63" bottom="0.65" header="0.51181102362204722" footer="0.51181102362204722"/>
  <pageSetup paperSize="9" scale="54" fitToHeight="3" orientation="landscape" r:id="rId1"/>
  <headerFooter alignWithMargins="0"/>
  <rowBreaks count="1" manualBreakCount="1">
    <brk id="30" max="16" man="1"/>
  </row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indexed="43"/>
    <pageSetUpPr fitToPage="1"/>
  </sheetPr>
  <dimension ref="A1:S124"/>
  <sheetViews>
    <sheetView view="pageBreakPreview" zoomScale="85" zoomScaleNormal="85" zoomScaleSheetLayoutView="85" workbookViewId="0">
      <pane xSplit="3" topLeftCell="D1" activePane="topRight" state="frozen"/>
      <selection activeCell="J9" sqref="J9"/>
      <selection pane="topRight" activeCell="O7" sqref="O7"/>
    </sheetView>
  </sheetViews>
  <sheetFormatPr defaultRowHeight="12" customHeight="1"/>
  <cols>
    <col min="1" max="1" width="3.77734375" style="137" customWidth="1"/>
    <col min="2" max="2" width="28.88671875" style="133" customWidth="1"/>
    <col min="3" max="3" width="28.5546875" style="133" customWidth="1"/>
    <col min="4" max="4" width="10.5546875" style="133" customWidth="1"/>
    <col min="5" max="5" width="9.6640625" style="133" bestFit="1" customWidth="1"/>
    <col min="6" max="7" width="10.33203125" style="133" bestFit="1" customWidth="1"/>
    <col min="8" max="8" width="9.6640625" style="134" bestFit="1" customWidth="1"/>
    <col min="9" max="9" width="10.33203125" style="141" bestFit="1" customWidth="1"/>
    <col min="10" max="10" width="10.109375" style="141" bestFit="1" customWidth="1"/>
    <col min="11" max="11" width="9.5546875" style="164" customWidth="1"/>
    <col min="12" max="12" width="8.44140625" style="136" bestFit="1" customWidth="1"/>
    <col min="13" max="13" width="8.44140625" style="136" customWidth="1"/>
    <col min="14" max="14" width="7.88671875" style="136" customWidth="1"/>
    <col min="15" max="15" width="6.33203125" style="136" customWidth="1"/>
    <col min="16" max="16" width="5.77734375" style="131" customWidth="1"/>
    <col min="17" max="17" width="5.33203125" style="128" customWidth="1"/>
    <col min="18" max="18" width="8.88671875" style="128"/>
    <col min="19" max="19" width="9.77734375" style="128" customWidth="1"/>
    <col min="20" max="16384" width="8.88671875" style="128"/>
  </cols>
  <sheetData>
    <row r="1" spans="1:19" s="125" customFormat="1" ht="50.25" customHeight="1">
      <c r="A1" s="322"/>
      <c r="B1" s="527" t="s">
        <v>756</v>
      </c>
      <c r="C1" s="327" t="s">
        <v>825</v>
      </c>
      <c r="D1" s="322"/>
      <c r="E1" s="323"/>
      <c r="F1" s="322"/>
      <c r="G1" s="322"/>
      <c r="H1" s="121"/>
      <c r="I1" s="121"/>
      <c r="J1" s="121"/>
      <c r="K1" s="282"/>
      <c r="L1" s="121"/>
      <c r="M1" s="121"/>
      <c r="N1" s="121"/>
      <c r="O1" s="121"/>
      <c r="P1" s="122"/>
      <c r="Q1" s="124"/>
    </row>
    <row r="2" spans="1:19" s="124" customFormat="1" ht="9" customHeight="1">
      <c r="A2" s="322"/>
      <c r="B2" s="323"/>
      <c r="C2" s="322"/>
      <c r="D2" s="322"/>
      <c r="E2" s="323"/>
      <c r="F2" s="322"/>
      <c r="G2" s="322"/>
      <c r="H2" s="121"/>
      <c r="I2" s="121"/>
      <c r="J2" s="121"/>
      <c r="K2" s="282"/>
      <c r="L2" s="121"/>
      <c r="M2" s="121"/>
      <c r="N2" s="121"/>
      <c r="O2" s="121"/>
      <c r="P2" s="122"/>
    </row>
    <row r="3" spans="1:19" s="189" customFormat="1" ht="9.75" customHeight="1">
      <c r="A3" s="587"/>
      <c r="B3" s="587"/>
      <c r="C3" s="587"/>
      <c r="D3" s="587"/>
      <c r="E3" s="587"/>
      <c r="F3" s="587"/>
      <c r="G3" s="587"/>
      <c r="H3" s="588"/>
      <c r="I3" s="188"/>
      <c r="J3" s="188"/>
      <c r="K3" s="188"/>
      <c r="L3" s="188"/>
      <c r="M3" s="188"/>
      <c r="N3" s="188"/>
      <c r="O3" s="188"/>
    </row>
    <row r="4" spans="1:19" s="124" customFormat="1" ht="33.75" customHeight="1" thickBot="1">
      <c r="A4" s="322"/>
      <c r="B4" s="323" t="s">
        <v>41</v>
      </c>
      <c r="C4" s="322"/>
      <c r="D4" s="322"/>
      <c r="E4" s="323"/>
      <c r="F4" s="322"/>
      <c r="G4" s="322"/>
      <c r="H4" s="121"/>
      <c r="I4" s="121"/>
      <c r="J4" s="121"/>
      <c r="K4" s="282"/>
      <c r="L4" s="121"/>
      <c r="M4" s="121"/>
      <c r="N4" s="121"/>
      <c r="O4" s="121"/>
      <c r="P4" s="122"/>
    </row>
    <row r="5" spans="1:19" s="126" customFormat="1" ht="33" customHeight="1">
      <c r="A5" s="948" t="s">
        <v>34</v>
      </c>
      <c r="B5" s="957" t="s">
        <v>35</v>
      </c>
      <c r="C5" s="959" t="s">
        <v>36</v>
      </c>
      <c r="D5" s="959" t="s">
        <v>37</v>
      </c>
      <c r="E5" s="955" t="s">
        <v>42</v>
      </c>
      <c r="F5" s="961" t="s">
        <v>43</v>
      </c>
      <c r="G5" s="951"/>
      <c r="H5" s="952"/>
      <c r="I5" s="951" t="s">
        <v>44</v>
      </c>
      <c r="J5" s="951"/>
      <c r="K5" s="952"/>
      <c r="L5" s="953" t="s">
        <v>45</v>
      </c>
      <c r="M5" s="955" t="s">
        <v>46</v>
      </c>
      <c r="N5" s="946" t="s">
        <v>47</v>
      </c>
      <c r="O5" s="946" t="s">
        <v>48</v>
      </c>
      <c r="P5" s="946" t="s">
        <v>49</v>
      </c>
      <c r="Q5" s="941" t="s">
        <v>39</v>
      </c>
    </row>
    <row r="6" spans="1:19" s="126" customFormat="1" ht="33" customHeight="1">
      <c r="A6" s="949"/>
      <c r="B6" s="958"/>
      <c r="C6" s="960"/>
      <c r="D6" s="960"/>
      <c r="E6" s="956"/>
      <c r="F6" s="183" t="s">
        <v>50</v>
      </c>
      <c r="G6" s="183" t="s">
        <v>51</v>
      </c>
      <c r="H6" s="184" t="s">
        <v>52</v>
      </c>
      <c r="I6" s="183" t="s">
        <v>53</v>
      </c>
      <c r="J6" s="183" t="s">
        <v>54</v>
      </c>
      <c r="K6" s="184" t="s">
        <v>55</v>
      </c>
      <c r="L6" s="954"/>
      <c r="M6" s="956"/>
      <c r="N6" s="947"/>
      <c r="O6" s="947"/>
      <c r="P6" s="947"/>
      <c r="Q6" s="942"/>
      <c r="S6" s="614"/>
    </row>
    <row r="7" spans="1:19" s="187" customFormat="1" ht="60.75" customHeight="1">
      <c r="A7" s="191">
        <v>1</v>
      </c>
      <c r="B7" s="192" t="s">
        <v>498</v>
      </c>
      <c r="C7" s="524" t="s">
        <v>489</v>
      </c>
      <c r="D7" s="201">
        <v>0</v>
      </c>
      <c r="E7" s="193">
        <v>10379</v>
      </c>
      <c r="F7" s="525">
        <v>37474</v>
      </c>
      <c r="G7" s="525">
        <v>40630</v>
      </c>
      <c r="H7" s="649">
        <f>IF(G7-F7+1&gt;=2*365,2*365,G7-F7+1)</f>
        <v>730</v>
      </c>
      <c r="I7" s="525">
        <v>37474</v>
      </c>
      <c r="J7" s="525">
        <v>39101</v>
      </c>
      <c r="K7" s="649">
        <f>IF(J7-I7+1&gt;=2*365,2*365,J7-I7+1)</f>
        <v>730</v>
      </c>
      <c r="L7" s="650" t="s">
        <v>491</v>
      </c>
      <c r="M7" s="193">
        <f>539+218+76+279+92+247+173+580+2402+72+109+380</f>
        <v>5167</v>
      </c>
      <c r="N7" s="651">
        <f>E7-M7</f>
        <v>5212</v>
      </c>
      <c r="O7" s="652">
        <f>N7/(배점기준!$G$9/1000)</f>
        <v>3.4613313109028616</v>
      </c>
      <c r="P7" s="185">
        <f>(IF(N7&lt;231,0,IF(O7&gt;=2.5,3,IF(O7&gt;=2,2,IF(O7&gt;=1.5,1.5,IF(O7&gt;=1,1,IF(O7&gt;=0.5,0.5,0.25)))))))*K7/H7</f>
        <v>3</v>
      </c>
      <c r="Q7" s="648"/>
      <c r="S7" s="647"/>
    </row>
    <row r="8" spans="1:19" s="187" customFormat="1" ht="41.25" customHeight="1">
      <c r="A8" s="969" t="s">
        <v>40</v>
      </c>
      <c r="B8" s="970"/>
      <c r="C8" s="970"/>
      <c r="D8" s="970"/>
      <c r="E8" s="970"/>
      <c r="F8" s="970"/>
      <c r="G8" s="970"/>
      <c r="H8" s="970"/>
      <c r="I8" s="970"/>
      <c r="J8" s="970"/>
      <c r="K8" s="970"/>
      <c r="L8" s="970"/>
      <c r="M8" s="970"/>
      <c r="N8" s="970"/>
      <c r="O8" s="653"/>
      <c r="P8" s="353">
        <f>SUM(P7:P7)</f>
        <v>3</v>
      </c>
      <c r="Q8" s="967"/>
    </row>
    <row r="9" spans="1:19" s="189" customFormat="1" ht="41.25" customHeight="1" thickBot="1">
      <c r="A9" s="971" t="s">
        <v>56</v>
      </c>
      <c r="B9" s="972"/>
      <c r="C9" s="972"/>
      <c r="D9" s="972"/>
      <c r="E9" s="972"/>
      <c r="F9" s="972"/>
      <c r="G9" s="972"/>
      <c r="H9" s="972"/>
      <c r="I9" s="972"/>
      <c r="J9" s="972"/>
      <c r="K9" s="972"/>
      <c r="L9" s="972"/>
      <c r="M9" s="972"/>
      <c r="N9" s="972"/>
      <c r="O9" s="654"/>
      <c r="P9" s="352">
        <f>P8</f>
        <v>3</v>
      </c>
      <c r="Q9" s="968"/>
    </row>
    <row r="10" spans="1:19" s="197" customFormat="1" ht="19.5" customHeight="1">
      <c r="A10" s="195" t="s">
        <v>57</v>
      </c>
      <c r="B10" s="963" t="s">
        <v>58</v>
      </c>
      <c r="C10" s="963"/>
      <c r="D10" s="963"/>
      <c r="E10" s="963"/>
      <c r="F10" s="963"/>
      <c r="G10" s="963"/>
      <c r="H10" s="963"/>
      <c r="I10" s="963"/>
      <c r="J10" s="963"/>
      <c r="K10" s="963"/>
      <c r="L10" s="963"/>
      <c r="M10" s="963"/>
      <c r="N10" s="963"/>
      <c r="O10" s="963"/>
      <c r="P10" s="196"/>
    </row>
    <row r="11" spans="1:19" s="161" customFormat="1" ht="18.75" customHeight="1">
      <c r="A11" s="250">
        <v>1</v>
      </c>
      <c r="B11" s="160" t="s">
        <v>67</v>
      </c>
      <c r="C11" s="160"/>
      <c r="D11" s="160"/>
      <c r="E11" s="160"/>
      <c r="F11" s="160"/>
      <c r="G11" s="160"/>
      <c r="K11" s="324"/>
      <c r="L11" s="162"/>
      <c r="M11" s="162"/>
      <c r="N11" s="162"/>
      <c r="O11" s="162"/>
    </row>
    <row r="12" spans="1:19" s="159" customFormat="1" ht="18.75" customHeight="1">
      <c r="A12" s="250">
        <v>2</v>
      </c>
      <c r="B12" s="160" t="s">
        <v>69</v>
      </c>
      <c r="C12" s="160"/>
      <c r="D12" s="160"/>
      <c r="E12" s="160"/>
      <c r="F12" s="163"/>
      <c r="G12" s="163"/>
      <c r="H12" s="163"/>
      <c r="I12" s="163"/>
      <c r="J12" s="163"/>
      <c r="K12" s="161"/>
    </row>
    <row r="13" spans="1:19" s="159" customFormat="1" ht="42.75" customHeight="1">
      <c r="A13" s="250">
        <v>3</v>
      </c>
      <c r="B13" s="962" t="s">
        <v>295</v>
      </c>
      <c r="C13" s="962"/>
      <c r="D13" s="962"/>
      <c r="E13" s="962"/>
      <c r="F13" s="962"/>
      <c r="G13" s="962"/>
      <c r="H13" s="962"/>
      <c r="I13" s="163"/>
      <c r="J13" s="163"/>
      <c r="K13" s="161"/>
    </row>
    <row r="14" spans="1:19" s="159" customFormat="1" ht="18.75" customHeight="1">
      <c r="A14" s="250">
        <v>4</v>
      </c>
      <c r="B14" s="159" t="s">
        <v>301</v>
      </c>
      <c r="C14" s="160"/>
      <c r="D14" s="160"/>
      <c r="E14" s="160"/>
      <c r="F14" s="163"/>
      <c r="G14" s="163"/>
      <c r="H14" s="163"/>
      <c r="I14" s="163"/>
      <c r="J14" s="163"/>
      <c r="K14" s="161"/>
    </row>
    <row r="15" spans="1:19" s="159" customFormat="1" ht="18.75" customHeight="1">
      <c r="A15" s="250">
        <v>5</v>
      </c>
      <c r="B15" s="160" t="s">
        <v>59</v>
      </c>
      <c r="C15" s="160"/>
      <c r="D15" s="160"/>
      <c r="E15" s="160"/>
      <c r="F15" s="163"/>
      <c r="G15" s="163"/>
      <c r="H15" s="163"/>
      <c r="I15" s="163"/>
      <c r="J15" s="163"/>
      <c r="K15" s="161"/>
    </row>
    <row r="16" spans="1:19" s="159" customFormat="1" ht="18.75" customHeight="1">
      <c r="A16" s="250">
        <v>6</v>
      </c>
      <c r="B16" s="160" t="s">
        <v>296</v>
      </c>
      <c r="C16" s="160"/>
      <c r="D16" s="160"/>
      <c r="E16" s="160"/>
      <c r="F16" s="160"/>
      <c r="G16" s="160"/>
      <c r="H16" s="161"/>
      <c r="I16" s="163"/>
      <c r="J16" s="163"/>
      <c r="K16" s="161"/>
    </row>
    <row r="17" spans="1:16" s="161" customFormat="1" ht="55.5" customHeight="1">
      <c r="A17" s="250">
        <v>7</v>
      </c>
      <c r="B17" s="950" t="s">
        <v>422</v>
      </c>
      <c r="C17" s="950"/>
      <c r="D17" s="950"/>
      <c r="E17" s="950"/>
      <c r="F17" s="950"/>
      <c r="G17" s="950"/>
      <c r="H17" s="950"/>
      <c r="I17" s="950"/>
      <c r="J17" s="950"/>
      <c r="K17" s="950"/>
      <c r="L17" s="950"/>
      <c r="M17" s="950"/>
      <c r="N17" s="162"/>
      <c r="O17" s="162"/>
    </row>
    <row r="18" spans="1:16" s="161" customFormat="1" ht="18.75" customHeight="1">
      <c r="A18" s="250">
        <v>8</v>
      </c>
      <c r="B18" s="160" t="s">
        <v>421</v>
      </c>
      <c r="C18" s="160"/>
      <c r="D18" s="160"/>
      <c r="E18" s="160"/>
      <c r="F18" s="160"/>
      <c r="G18" s="160"/>
      <c r="K18" s="324"/>
      <c r="L18" s="162"/>
      <c r="M18" s="162"/>
      <c r="N18" s="162"/>
      <c r="O18" s="162"/>
    </row>
    <row r="19" spans="1:16" s="161" customFormat="1" ht="18.75" customHeight="1">
      <c r="A19" s="250">
        <v>9</v>
      </c>
      <c r="B19" s="166" t="s">
        <v>70</v>
      </c>
      <c r="C19" s="166"/>
      <c r="D19" s="166"/>
      <c r="E19" s="166"/>
      <c r="F19" s="160"/>
      <c r="G19" s="160"/>
      <c r="K19" s="324"/>
      <c r="L19" s="162"/>
      <c r="M19" s="162"/>
      <c r="N19" s="162"/>
      <c r="O19" s="162"/>
    </row>
    <row r="20" spans="1:16" s="161" customFormat="1" ht="15" customHeight="1">
      <c r="B20" s="166"/>
      <c r="C20" s="166"/>
      <c r="D20" s="166"/>
      <c r="E20" s="166"/>
      <c r="F20" s="160"/>
      <c r="G20" s="160"/>
      <c r="K20" s="324"/>
      <c r="L20" s="162"/>
      <c r="M20" s="162"/>
      <c r="N20" s="162"/>
      <c r="O20" s="162"/>
    </row>
    <row r="21" spans="1:16" s="197" customFormat="1" ht="15" customHeight="1">
      <c r="A21" s="160"/>
      <c r="B21" s="160"/>
      <c r="C21" s="160"/>
      <c r="D21" s="160"/>
      <c r="E21" s="160"/>
      <c r="F21" s="198"/>
      <c r="G21" s="198"/>
      <c r="H21" s="161"/>
      <c r="I21" s="161"/>
      <c r="J21" s="161"/>
      <c r="K21" s="211"/>
      <c r="L21" s="199"/>
      <c r="M21" s="199"/>
      <c r="N21" s="199"/>
      <c r="O21" s="199"/>
      <c r="P21" s="200"/>
    </row>
    <row r="22" spans="1:16" ht="15" customHeight="1">
      <c r="B22" s="146"/>
      <c r="C22" s="146"/>
      <c r="D22" s="146"/>
      <c r="E22" s="146"/>
      <c r="F22" s="138"/>
      <c r="G22" s="138"/>
      <c r="H22" s="139"/>
      <c r="I22" s="140"/>
      <c r="J22" s="140"/>
    </row>
    <row r="23" spans="1:16" ht="15" customHeight="1">
      <c r="C23" s="138"/>
      <c r="D23" s="138"/>
      <c r="E23" s="138"/>
      <c r="F23" s="138"/>
      <c r="G23" s="138"/>
      <c r="H23" s="139"/>
      <c r="I23" s="140"/>
      <c r="J23" s="140"/>
    </row>
    <row r="24" spans="1:16" ht="15" customHeight="1">
      <c r="C24" s="138"/>
      <c r="D24" s="138"/>
      <c r="E24" s="138"/>
      <c r="F24" s="138"/>
      <c r="G24" s="138"/>
      <c r="H24" s="139"/>
      <c r="I24" s="140"/>
      <c r="J24" s="140"/>
    </row>
    <row r="25" spans="1:16" ht="12" customHeight="1">
      <c r="C25" s="138"/>
      <c r="D25" s="138"/>
      <c r="E25" s="138"/>
      <c r="F25" s="138"/>
      <c r="G25" s="138"/>
      <c r="H25" s="139"/>
      <c r="I25" s="140"/>
      <c r="J25" s="140"/>
    </row>
    <row r="26" spans="1:16" ht="12" customHeight="1">
      <c r="C26" s="138"/>
      <c r="D26" s="138"/>
      <c r="E26" s="138"/>
      <c r="F26" s="138"/>
      <c r="G26" s="138"/>
      <c r="H26" s="139"/>
      <c r="I26" s="140"/>
      <c r="J26" s="140"/>
    </row>
    <row r="27" spans="1:16" ht="12" customHeight="1">
      <c r="C27" s="138"/>
      <c r="D27" s="138"/>
      <c r="E27" s="138"/>
      <c r="F27" s="138"/>
      <c r="G27" s="138"/>
      <c r="H27" s="139"/>
      <c r="I27" s="140"/>
      <c r="J27" s="140"/>
    </row>
    <row r="28" spans="1:16" ht="12" customHeight="1">
      <c r="C28" s="138"/>
      <c r="D28" s="138"/>
      <c r="E28" s="138"/>
      <c r="F28" s="138"/>
      <c r="G28" s="138"/>
      <c r="H28" s="139"/>
      <c r="I28" s="140"/>
      <c r="J28" s="140"/>
    </row>
    <row r="29" spans="1:16" ht="12" customHeight="1">
      <c r="C29" s="138"/>
      <c r="D29" s="138"/>
      <c r="E29" s="138"/>
      <c r="F29" s="138"/>
      <c r="G29" s="138"/>
      <c r="H29" s="139"/>
      <c r="I29" s="140"/>
      <c r="J29" s="140"/>
    </row>
    <row r="30" spans="1:16" ht="12" customHeight="1">
      <c r="C30" s="138"/>
      <c r="D30" s="138"/>
      <c r="E30" s="138"/>
      <c r="F30" s="138"/>
      <c r="G30" s="138"/>
      <c r="H30" s="139"/>
      <c r="I30" s="140"/>
      <c r="J30" s="140"/>
    </row>
    <row r="31" spans="1:16" ht="12" customHeight="1">
      <c r="C31" s="138"/>
      <c r="D31" s="138"/>
      <c r="E31" s="138"/>
      <c r="F31" s="138"/>
      <c r="G31" s="138"/>
      <c r="H31" s="139"/>
      <c r="I31" s="140"/>
      <c r="J31" s="140"/>
    </row>
    <row r="32" spans="1:16" ht="12" customHeight="1">
      <c r="C32" s="138"/>
      <c r="D32" s="138"/>
      <c r="E32" s="138"/>
      <c r="F32" s="138"/>
      <c r="G32" s="138"/>
      <c r="H32" s="139"/>
      <c r="I32" s="140"/>
      <c r="J32" s="140"/>
    </row>
    <row r="33" spans="1:17" ht="12" customHeight="1">
      <c r="C33" s="138"/>
      <c r="D33" s="138"/>
      <c r="E33" s="138"/>
      <c r="F33" s="138"/>
      <c r="G33" s="138"/>
      <c r="H33" s="139"/>
      <c r="I33" s="140"/>
      <c r="J33" s="140"/>
    </row>
    <row r="34" spans="1:17" s="164" customFormat="1" ht="12" customHeight="1">
      <c r="A34" s="137"/>
      <c r="B34" s="133"/>
      <c r="C34" s="138"/>
      <c r="D34" s="138"/>
      <c r="E34" s="138"/>
      <c r="F34" s="138"/>
      <c r="G34" s="138"/>
      <c r="H34" s="139"/>
      <c r="I34" s="140"/>
      <c r="J34" s="140"/>
      <c r="L34" s="136"/>
      <c r="M34" s="136"/>
      <c r="N34" s="136"/>
      <c r="O34" s="136"/>
      <c r="P34" s="131"/>
      <c r="Q34" s="128"/>
    </row>
    <row r="35" spans="1:17" s="164" customFormat="1" ht="12" customHeight="1">
      <c r="A35" s="137"/>
      <c r="B35" s="133"/>
      <c r="C35" s="138"/>
      <c r="D35" s="138"/>
      <c r="E35" s="138"/>
      <c r="F35" s="138"/>
      <c r="G35" s="138"/>
      <c r="H35" s="139"/>
      <c r="I35" s="140"/>
      <c r="J35" s="140"/>
      <c r="L35" s="136"/>
      <c r="M35" s="136"/>
      <c r="N35" s="136"/>
      <c r="O35" s="136"/>
      <c r="P35" s="131"/>
      <c r="Q35" s="128"/>
    </row>
    <row r="36" spans="1:17" s="164" customFormat="1" ht="12" customHeight="1">
      <c r="A36" s="137"/>
      <c r="B36" s="133"/>
      <c r="C36" s="138"/>
      <c r="D36" s="138"/>
      <c r="E36" s="138"/>
      <c r="F36" s="138"/>
      <c r="G36" s="138"/>
      <c r="H36" s="139"/>
      <c r="I36" s="140"/>
      <c r="J36" s="140"/>
      <c r="L36" s="136"/>
      <c r="M36" s="136"/>
      <c r="N36" s="136"/>
      <c r="O36" s="136"/>
      <c r="P36" s="131"/>
      <c r="Q36" s="128"/>
    </row>
    <row r="37" spans="1:17" s="164" customFormat="1" ht="12" customHeight="1">
      <c r="A37" s="137"/>
      <c r="B37" s="133"/>
      <c r="C37" s="138"/>
      <c r="D37" s="138"/>
      <c r="E37" s="138"/>
      <c r="F37" s="138"/>
      <c r="G37" s="138"/>
      <c r="H37" s="139"/>
      <c r="I37" s="140"/>
      <c r="J37" s="140"/>
      <c r="L37" s="136"/>
      <c r="M37" s="136"/>
      <c r="N37" s="136"/>
      <c r="O37" s="136"/>
      <c r="P37" s="131"/>
      <c r="Q37" s="128"/>
    </row>
    <row r="38" spans="1:17" s="164" customFormat="1" ht="12" customHeight="1">
      <c r="A38" s="137"/>
      <c r="B38" s="133"/>
      <c r="C38" s="138"/>
      <c r="D38" s="138"/>
      <c r="E38" s="138"/>
      <c r="F38" s="138"/>
      <c r="G38" s="138"/>
      <c r="H38" s="139"/>
      <c r="I38" s="140"/>
      <c r="J38" s="140"/>
      <c r="L38" s="136"/>
      <c r="M38" s="136"/>
      <c r="N38" s="136"/>
      <c r="O38" s="136"/>
      <c r="P38" s="131"/>
      <c r="Q38" s="128"/>
    </row>
    <row r="39" spans="1:17" s="164" customFormat="1" ht="12" customHeight="1">
      <c r="A39" s="137"/>
      <c r="B39" s="133"/>
      <c r="C39" s="138"/>
      <c r="D39" s="138"/>
      <c r="E39" s="138"/>
      <c r="F39" s="138"/>
      <c r="G39" s="138"/>
      <c r="H39" s="139"/>
      <c r="I39" s="140"/>
      <c r="J39" s="140"/>
      <c r="L39" s="136"/>
      <c r="M39" s="136"/>
      <c r="N39" s="136"/>
      <c r="O39" s="136"/>
      <c r="P39" s="131"/>
      <c r="Q39" s="128"/>
    </row>
    <row r="40" spans="1:17" s="164" customFormat="1" ht="12" customHeight="1">
      <c r="A40" s="137"/>
      <c r="B40" s="133"/>
      <c r="C40" s="138"/>
      <c r="D40" s="138"/>
      <c r="E40" s="138"/>
      <c r="F40" s="138"/>
      <c r="G40" s="138"/>
      <c r="H40" s="139"/>
      <c r="I40" s="140"/>
      <c r="J40" s="140"/>
      <c r="L40" s="136"/>
      <c r="M40" s="136"/>
      <c r="N40" s="136"/>
      <c r="O40" s="136"/>
      <c r="P40" s="131"/>
      <c r="Q40" s="128"/>
    </row>
    <row r="41" spans="1:17" s="164" customFormat="1" ht="12" customHeight="1">
      <c r="A41" s="137"/>
      <c r="B41" s="133"/>
      <c r="C41" s="138"/>
      <c r="D41" s="138"/>
      <c r="E41" s="138"/>
      <c r="F41" s="138"/>
      <c r="G41" s="138"/>
      <c r="H41" s="139"/>
      <c r="I41" s="140"/>
      <c r="J41" s="140"/>
      <c r="L41" s="136"/>
      <c r="M41" s="136"/>
      <c r="N41" s="136"/>
      <c r="O41" s="136"/>
      <c r="P41" s="131"/>
      <c r="Q41" s="128"/>
    </row>
    <row r="42" spans="1:17" s="164" customFormat="1" ht="12" customHeight="1">
      <c r="A42" s="137"/>
      <c r="B42" s="133"/>
      <c r="C42" s="138"/>
      <c r="D42" s="138"/>
      <c r="E42" s="138"/>
      <c r="F42" s="138"/>
      <c r="G42" s="138"/>
      <c r="H42" s="139"/>
      <c r="I42" s="140"/>
      <c r="J42" s="140"/>
      <c r="L42" s="136"/>
      <c r="M42" s="136"/>
      <c r="N42" s="136"/>
      <c r="O42" s="136"/>
      <c r="P42" s="131"/>
      <c r="Q42" s="128"/>
    </row>
    <row r="43" spans="1:17" s="164" customFormat="1" ht="12" customHeight="1">
      <c r="A43" s="137"/>
      <c r="B43" s="133"/>
      <c r="C43" s="138"/>
      <c r="D43" s="138"/>
      <c r="E43" s="138"/>
      <c r="F43" s="138"/>
      <c r="G43" s="138"/>
      <c r="H43" s="139"/>
      <c r="I43" s="140"/>
      <c r="J43" s="140"/>
      <c r="L43" s="136"/>
      <c r="M43" s="136"/>
      <c r="N43" s="136"/>
      <c r="O43" s="136"/>
      <c r="P43" s="131"/>
      <c r="Q43" s="128"/>
    </row>
    <row r="44" spans="1:17" s="164" customFormat="1" ht="12" customHeight="1">
      <c r="A44" s="137"/>
      <c r="B44" s="133"/>
      <c r="C44" s="138"/>
      <c r="D44" s="138"/>
      <c r="E44" s="138"/>
      <c r="F44" s="138"/>
      <c r="G44" s="138"/>
      <c r="H44" s="139"/>
      <c r="I44" s="140"/>
      <c r="J44" s="140"/>
      <c r="L44" s="136"/>
      <c r="M44" s="136"/>
      <c r="N44" s="136"/>
      <c r="O44" s="136"/>
      <c r="P44" s="131"/>
      <c r="Q44" s="128"/>
    </row>
    <row r="45" spans="1:17" s="164" customFormat="1" ht="12" customHeight="1">
      <c r="A45" s="137"/>
      <c r="B45" s="133"/>
      <c r="C45" s="138"/>
      <c r="D45" s="138"/>
      <c r="E45" s="138"/>
      <c r="F45" s="138"/>
      <c r="G45" s="138"/>
      <c r="H45" s="139"/>
      <c r="I45" s="140"/>
      <c r="J45" s="140"/>
      <c r="L45" s="136"/>
      <c r="M45" s="136"/>
      <c r="N45" s="136"/>
      <c r="O45" s="136"/>
      <c r="P45" s="131"/>
      <c r="Q45" s="128"/>
    </row>
    <row r="46" spans="1:17" s="164" customFormat="1" ht="12" customHeight="1">
      <c r="A46" s="137"/>
      <c r="B46" s="133"/>
      <c r="C46" s="138"/>
      <c r="D46" s="138"/>
      <c r="E46" s="138"/>
      <c r="F46" s="138"/>
      <c r="G46" s="138"/>
      <c r="H46" s="139"/>
      <c r="I46" s="140"/>
      <c r="J46" s="140"/>
      <c r="L46" s="136"/>
      <c r="M46" s="136"/>
      <c r="N46" s="136"/>
      <c r="O46" s="136"/>
      <c r="P46" s="131"/>
      <c r="Q46" s="128"/>
    </row>
    <row r="47" spans="1:17" s="164" customFormat="1" ht="12" customHeight="1">
      <c r="A47" s="137"/>
      <c r="B47" s="133"/>
      <c r="C47" s="138"/>
      <c r="D47" s="138"/>
      <c r="E47" s="138"/>
      <c r="F47" s="138"/>
      <c r="G47" s="138"/>
      <c r="H47" s="139"/>
      <c r="I47" s="140"/>
      <c r="J47" s="140"/>
      <c r="L47" s="136"/>
      <c r="M47" s="136"/>
      <c r="N47" s="136"/>
      <c r="O47" s="136"/>
      <c r="P47" s="131"/>
      <c r="Q47" s="128"/>
    </row>
    <row r="48" spans="1:17" s="164" customFormat="1" ht="12" customHeight="1">
      <c r="A48" s="137"/>
      <c r="B48" s="133"/>
      <c r="C48" s="138"/>
      <c r="D48" s="138"/>
      <c r="E48" s="138"/>
      <c r="F48" s="138"/>
      <c r="G48" s="138"/>
      <c r="H48" s="139"/>
      <c r="I48" s="140"/>
      <c r="J48" s="140"/>
      <c r="L48" s="136"/>
      <c r="M48" s="136"/>
      <c r="N48" s="136"/>
      <c r="O48" s="136"/>
      <c r="P48" s="131"/>
      <c r="Q48" s="128"/>
    </row>
    <row r="49" spans="1:17" s="164" customFormat="1" ht="12" customHeight="1">
      <c r="A49" s="137"/>
      <c r="B49" s="133"/>
      <c r="C49" s="138"/>
      <c r="D49" s="138"/>
      <c r="E49" s="138"/>
      <c r="F49" s="138"/>
      <c r="G49" s="138"/>
      <c r="H49" s="139"/>
      <c r="I49" s="140"/>
      <c r="J49" s="140"/>
      <c r="L49" s="136"/>
      <c r="M49" s="136"/>
      <c r="N49" s="136"/>
      <c r="O49" s="136"/>
      <c r="P49" s="131"/>
      <c r="Q49" s="128"/>
    </row>
    <row r="50" spans="1:17" s="164" customFormat="1" ht="12" customHeight="1">
      <c r="A50" s="137"/>
      <c r="B50" s="133"/>
      <c r="C50" s="138"/>
      <c r="D50" s="138"/>
      <c r="E50" s="138"/>
      <c r="F50" s="138"/>
      <c r="G50" s="138"/>
      <c r="H50" s="139"/>
      <c r="I50" s="140"/>
      <c r="J50" s="140"/>
      <c r="L50" s="136"/>
      <c r="M50" s="136"/>
      <c r="N50" s="136"/>
      <c r="O50" s="136"/>
      <c r="P50" s="131"/>
      <c r="Q50" s="128"/>
    </row>
    <row r="51" spans="1:17" s="164" customFormat="1" ht="12" customHeight="1">
      <c r="A51" s="137"/>
      <c r="B51" s="133"/>
      <c r="C51" s="138"/>
      <c r="D51" s="138"/>
      <c r="E51" s="138"/>
      <c r="F51" s="138"/>
      <c r="G51" s="138"/>
      <c r="H51" s="139"/>
      <c r="I51" s="140"/>
      <c r="J51" s="140"/>
      <c r="L51" s="136"/>
      <c r="M51" s="136"/>
      <c r="N51" s="136"/>
      <c r="O51" s="136"/>
      <c r="P51" s="131"/>
      <c r="Q51" s="128"/>
    </row>
    <row r="52" spans="1:17" s="164" customFormat="1" ht="12" customHeight="1">
      <c r="A52" s="137"/>
      <c r="B52" s="133"/>
      <c r="C52" s="138"/>
      <c r="D52" s="138"/>
      <c r="E52" s="138"/>
      <c r="F52" s="138"/>
      <c r="G52" s="138"/>
      <c r="H52" s="139"/>
      <c r="I52" s="140"/>
      <c r="J52" s="140"/>
      <c r="L52" s="136"/>
      <c r="M52" s="136"/>
      <c r="N52" s="136"/>
      <c r="O52" s="136"/>
      <c r="P52" s="131"/>
      <c r="Q52" s="128"/>
    </row>
    <row r="53" spans="1:17" s="164" customFormat="1" ht="12" customHeight="1">
      <c r="A53" s="137"/>
      <c r="B53" s="133"/>
      <c r="C53" s="138"/>
      <c r="D53" s="138"/>
      <c r="E53" s="138"/>
      <c r="F53" s="138"/>
      <c r="G53" s="138"/>
      <c r="H53" s="139"/>
      <c r="I53" s="140"/>
      <c r="J53" s="140"/>
      <c r="L53" s="136"/>
      <c r="M53" s="136"/>
      <c r="N53" s="136"/>
      <c r="O53" s="136"/>
      <c r="P53" s="131"/>
      <c r="Q53" s="128"/>
    </row>
    <row r="54" spans="1:17" s="164" customFormat="1" ht="12" customHeight="1">
      <c r="A54" s="137"/>
      <c r="B54" s="133"/>
      <c r="C54" s="138"/>
      <c r="D54" s="138"/>
      <c r="E54" s="138"/>
      <c r="F54" s="138"/>
      <c r="G54" s="138"/>
      <c r="H54" s="139"/>
      <c r="I54" s="140"/>
      <c r="J54" s="140"/>
      <c r="L54" s="136"/>
      <c r="M54" s="136"/>
      <c r="N54" s="136"/>
      <c r="O54" s="136"/>
      <c r="P54" s="131"/>
      <c r="Q54" s="128"/>
    </row>
    <row r="55" spans="1:17" s="164" customFormat="1" ht="12" customHeight="1">
      <c r="A55" s="137"/>
      <c r="B55" s="133"/>
      <c r="C55" s="138"/>
      <c r="D55" s="138"/>
      <c r="E55" s="138"/>
      <c r="F55" s="138"/>
      <c r="G55" s="138"/>
      <c r="H55" s="139"/>
      <c r="I55" s="140"/>
      <c r="J55" s="140"/>
      <c r="L55" s="136"/>
      <c r="M55" s="136"/>
      <c r="N55" s="136"/>
      <c r="O55" s="136"/>
      <c r="P55" s="131"/>
      <c r="Q55" s="128"/>
    </row>
    <row r="56" spans="1:17" s="164" customFormat="1" ht="12" customHeight="1">
      <c r="A56" s="137"/>
      <c r="B56" s="133"/>
      <c r="C56" s="138"/>
      <c r="D56" s="138"/>
      <c r="E56" s="138"/>
      <c r="F56" s="138"/>
      <c r="G56" s="138"/>
      <c r="H56" s="139"/>
      <c r="I56" s="140"/>
      <c r="J56" s="140"/>
      <c r="L56" s="136"/>
      <c r="M56" s="136"/>
      <c r="N56" s="136"/>
      <c r="O56" s="136"/>
      <c r="P56" s="131"/>
      <c r="Q56" s="128"/>
    </row>
    <row r="57" spans="1:17" s="164" customFormat="1" ht="12" customHeight="1">
      <c r="A57" s="137"/>
      <c r="B57" s="133"/>
      <c r="C57" s="138"/>
      <c r="D57" s="138"/>
      <c r="E57" s="138"/>
      <c r="F57" s="138"/>
      <c r="G57" s="138"/>
      <c r="H57" s="139"/>
      <c r="I57" s="140"/>
      <c r="J57" s="140"/>
      <c r="L57" s="136"/>
      <c r="M57" s="136"/>
      <c r="N57" s="136"/>
      <c r="O57" s="136"/>
      <c r="P57" s="131"/>
      <c r="Q57" s="128"/>
    </row>
    <row r="58" spans="1:17" s="164" customFormat="1" ht="12" customHeight="1">
      <c r="A58" s="137"/>
      <c r="B58" s="133"/>
      <c r="C58" s="138"/>
      <c r="D58" s="138"/>
      <c r="E58" s="138"/>
      <c r="F58" s="138"/>
      <c r="G58" s="138"/>
      <c r="H58" s="139"/>
      <c r="I58" s="140"/>
      <c r="J58" s="140"/>
      <c r="L58" s="136"/>
      <c r="M58" s="136"/>
      <c r="N58" s="136"/>
      <c r="O58" s="136"/>
      <c r="P58" s="131"/>
      <c r="Q58" s="128"/>
    </row>
    <row r="59" spans="1:17" s="164" customFormat="1" ht="12" customHeight="1">
      <c r="A59" s="137"/>
      <c r="B59" s="133"/>
      <c r="C59" s="138"/>
      <c r="D59" s="138"/>
      <c r="E59" s="138"/>
      <c r="F59" s="138"/>
      <c r="G59" s="138"/>
      <c r="H59" s="139"/>
      <c r="I59" s="140"/>
      <c r="J59" s="140"/>
      <c r="L59" s="136"/>
      <c r="M59" s="136"/>
      <c r="N59" s="136"/>
      <c r="O59" s="136"/>
      <c r="P59" s="131"/>
      <c r="Q59" s="128"/>
    </row>
    <row r="60" spans="1:17" s="164" customFormat="1" ht="12" customHeight="1">
      <c r="A60" s="137"/>
      <c r="B60" s="133"/>
      <c r="C60" s="138"/>
      <c r="D60" s="138"/>
      <c r="E60" s="138"/>
      <c r="F60" s="138"/>
      <c r="G60" s="138"/>
      <c r="H60" s="139"/>
      <c r="I60" s="140"/>
      <c r="J60" s="140"/>
      <c r="L60" s="136"/>
      <c r="M60" s="136"/>
      <c r="N60" s="136"/>
      <c r="O60" s="136"/>
      <c r="P60" s="131"/>
      <c r="Q60" s="128"/>
    </row>
    <row r="61" spans="1:17" s="164" customFormat="1" ht="12" customHeight="1">
      <c r="A61" s="137"/>
      <c r="B61" s="133"/>
      <c r="C61" s="138"/>
      <c r="D61" s="138"/>
      <c r="E61" s="138"/>
      <c r="F61" s="138"/>
      <c r="G61" s="138"/>
      <c r="H61" s="139"/>
      <c r="I61" s="140"/>
      <c r="J61" s="140"/>
      <c r="L61" s="136"/>
      <c r="M61" s="136"/>
      <c r="N61" s="136"/>
      <c r="O61" s="136"/>
      <c r="P61" s="131"/>
      <c r="Q61" s="128"/>
    </row>
    <row r="62" spans="1:17" s="164" customFormat="1" ht="12" customHeight="1">
      <c r="A62" s="137"/>
      <c r="B62" s="133"/>
      <c r="C62" s="138"/>
      <c r="D62" s="138"/>
      <c r="E62" s="138"/>
      <c r="F62" s="138"/>
      <c r="G62" s="138"/>
      <c r="H62" s="139"/>
      <c r="I62" s="140"/>
      <c r="J62" s="140"/>
      <c r="L62" s="136"/>
      <c r="M62" s="136"/>
      <c r="N62" s="136"/>
      <c r="O62" s="136"/>
      <c r="P62" s="131"/>
      <c r="Q62" s="128"/>
    </row>
    <row r="63" spans="1:17" s="164" customFormat="1" ht="12" customHeight="1">
      <c r="A63" s="137"/>
      <c r="B63" s="133"/>
      <c r="C63" s="138"/>
      <c r="D63" s="138"/>
      <c r="E63" s="138"/>
      <c r="F63" s="138"/>
      <c r="G63" s="138"/>
      <c r="H63" s="139"/>
      <c r="I63" s="140"/>
      <c r="J63" s="140"/>
      <c r="L63" s="136"/>
      <c r="M63" s="136"/>
      <c r="N63" s="136"/>
      <c r="O63" s="136"/>
      <c r="P63" s="131"/>
      <c r="Q63" s="128"/>
    </row>
    <row r="64" spans="1:17" s="164" customFormat="1" ht="12" customHeight="1">
      <c r="A64" s="137"/>
      <c r="B64" s="133"/>
      <c r="C64" s="138"/>
      <c r="D64" s="138"/>
      <c r="E64" s="138"/>
      <c r="F64" s="138"/>
      <c r="G64" s="138"/>
      <c r="H64" s="139"/>
      <c r="I64" s="140"/>
      <c r="J64" s="140"/>
      <c r="L64" s="136"/>
      <c r="M64" s="136"/>
      <c r="N64" s="136"/>
      <c r="O64" s="136"/>
      <c r="P64" s="131"/>
      <c r="Q64" s="128"/>
    </row>
    <row r="65" spans="1:17" s="164" customFormat="1" ht="12" customHeight="1">
      <c r="A65" s="137"/>
      <c r="B65" s="133"/>
      <c r="C65" s="138"/>
      <c r="D65" s="138"/>
      <c r="E65" s="138"/>
      <c r="F65" s="138"/>
      <c r="G65" s="138"/>
      <c r="H65" s="139"/>
      <c r="I65" s="140"/>
      <c r="J65" s="140"/>
      <c r="L65" s="136"/>
      <c r="M65" s="136"/>
      <c r="N65" s="136"/>
      <c r="O65" s="136"/>
      <c r="P65" s="131"/>
      <c r="Q65" s="128"/>
    </row>
    <row r="66" spans="1:17" s="164" customFormat="1" ht="12" customHeight="1">
      <c r="A66" s="137"/>
      <c r="B66" s="133"/>
      <c r="C66" s="138"/>
      <c r="D66" s="138"/>
      <c r="E66" s="138"/>
      <c r="F66" s="138"/>
      <c r="G66" s="138"/>
      <c r="H66" s="139"/>
      <c r="I66" s="140"/>
      <c r="J66" s="140"/>
      <c r="L66" s="136"/>
      <c r="M66" s="136"/>
      <c r="N66" s="136"/>
      <c r="O66" s="136"/>
      <c r="P66" s="131"/>
      <c r="Q66" s="128"/>
    </row>
    <row r="67" spans="1:17" s="164" customFormat="1" ht="12" customHeight="1">
      <c r="A67" s="137"/>
      <c r="B67" s="133"/>
      <c r="C67" s="138"/>
      <c r="D67" s="138"/>
      <c r="E67" s="138"/>
      <c r="F67" s="138"/>
      <c r="G67" s="138"/>
      <c r="H67" s="139"/>
      <c r="I67" s="140"/>
      <c r="J67" s="140"/>
      <c r="L67" s="136"/>
      <c r="M67" s="136"/>
      <c r="N67" s="136"/>
      <c r="O67" s="136"/>
      <c r="P67" s="131"/>
      <c r="Q67" s="128"/>
    </row>
    <row r="68" spans="1:17" s="164" customFormat="1" ht="12" customHeight="1">
      <c r="A68" s="137"/>
      <c r="B68" s="133"/>
      <c r="C68" s="138"/>
      <c r="D68" s="138"/>
      <c r="E68" s="138"/>
      <c r="F68" s="138"/>
      <c r="G68" s="138"/>
      <c r="H68" s="139"/>
      <c r="I68" s="140"/>
      <c r="J68" s="140"/>
      <c r="L68" s="136"/>
      <c r="M68" s="136"/>
      <c r="N68" s="136"/>
      <c r="O68" s="136"/>
      <c r="P68" s="131"/>
      <c r="Q68" s="128"/>
    </row>
    <row r="69" spans="1:17" s="164" customFormat="1" ht="12" customHeight="1">
      <c r="A69" s="137"/>
      <c r="B69" s="133"/>
      <c r="C69" s="138"/>
      <c r="D69" s="138"/>
      <c r="E69" s="138"/>
      <c r="F69" s="138"/>
      <c r="G69" s="138"/>
      <c r="H69" s="139"/>
      <c r="I69" s="140"/>
      <c r="J69" s="140"/>
      <c r="L69" s="136"/>
      <c r="M69" s="136"/>
      <c r="N69" s="136"/>
      <c r="O69" s="136"/>
      <c r="P69" s="131"/>
      <c r="Q69" s="128"/>
    </row>
    <row r="70" spans="1:17" s="164" customFormat="1" ht="12" customHeight="1">
      <c r="A70" s="137"/>
      <c r="B70" s="133"/>
      <c r="C70" s="138"/>
      <c r="D70" s="138"/>
      <c r="E70" s="138"/>
      <c r="F70" s="138"/>
      <c r="G70" s="138"/>
      <c r="H70" s="139"/>
      <c r="I70" s="140"/>
      <c r="J70" s="140"/>
      <c r="L70" s="136"/>
      <c r="M70" s="136"/>
      <c r="N70" s="136"/>
      <c r="O70" s="136"/>
      <c r="P70" s="131"/>
      <c r="Q70" s="128"/>
    </row>
    <row r="71" spans="1:17" s="164" customFormat="1" ht="12" customHeight="1">
      <c r="A71" s="137"/>
      <c r="B71" s="133"/>
      <c r="C71" s="138"/>
      <c r="D71" s="138"/>
      <c r="E71" s="138"/>
      <c r="F71" s="138"/>
      <c r="G71" s="138"/>
      <c r="H71" s="139"/>
      <c r="I71" s="140"/>
      <c r="J71" s="140"/>
      <c r="L71" s="136"/>
      <c r="M71" s="136"/>
      <c r="N71" s="136"/>
      <c r="O71" s="136"/>
      <c r="P71" s="131"/>
      <c r="Q71" s="128"/>
    </row>
    <row r="72" spans="1:17" s="164" customFormat="1" ht="12" customHeight="1">
      <c r="A72" s="137"/>
      <c r="B72" s="133"/>
      <c r="C72" s="138"/>
      <c r="D72" s="138"/>
      <c r="E72" s="138"/>
      <c r="F72" s="138"/>
      <c r="G72" s="138"/>
      <c r="H72" s="139"/>
      <c r="I72" s="140"/>
      <c r="J72" s="140"/>
      <c r="L72" s="136"/>
      <c r="M72" s="136"/>
      <c r="N72" s="136"/>
      <c r="O72" s="136"/>
      <c r="P72" s="131"/>
      <c r="Q72" s="128"/>
    </row>
    <row r="73" spans="1:17" s="164" customFormat="1" ht="12" customHeight="1">
      <c r="A73" s="137"/>
      <c r="B73" s="133"/>
      <c r="C73" s="138"/>
      <c r="D73" s="138"/>
      <c r="E73" s="138"/>
      <c r="F73" s="138"/>
      <c r="G73" s="138"/>
      <c r="H73" s="139"/>
      <c r="I73" s="140"/>
      <c r="J73" s="140"/>
      <c r="L73" s="136"/>
      <c r="M73" s="136"/>
      <c r="N73" s="136"/>
      <c r="O73" s="136"/>
      <c r="P73" s="131"/>
      <c r="Q73" s="128"/>
    </row>
    <row r="74" spans="1:17" s="164" customFormat="1" ht="12" customHeight="1">
      <c r="A74" s="137"/>
      <c r="B74" s="133"/>
      <c r="C74" s="138"/>
      <c r="D74" s="138"/>
      <c r="E74" s="138"/>
      <c r="F74" s="138"/>
      <c r="G74" s="138"/>
      <c r="H74" s="139"/>
      <c r="I74" s="140"/>
      <c r="J74" s="140"/>
      <c r="L74" s="136"/>
      <c r="M74" s="136"/>
      <c r="N74" s="136"/>
      <c r="O74" s="136"/>
      <c r="P74" s="131"/>
      <c r="Q74" s="128"/>
    </row>
    <row r="75" spans="1:17" s="164" customFormat="1" ht="12" customHeight="1">
      <c r="A75" s="137"/>
      <c r="B75" s="133"/>
      <c r="C75" s="138"/>
      <c r="D75" s="138"/>
      <c r="E75" s="138"/>
      <c r="F75" s="138"/>
      <c r="G75" s="138"/>
      <c r="H75" s="139"/>
      <c r="I75" s="140"/>
      <c r="J75" s="140"/>
      <c r="L75" s="136"/>
      <c r="M75" s="136"/>
      <c r="N75" s="136"/>
      <c r="O75" s="136"/>
      <c r="P75" s="131"/>
      <c r="Q75" s="128"/>
    </row>
    <row r="76" spans="1:17" s="164" customFormat="1" ht="12" customHeight="1">
      <c r="A76" s="137"/>
      <c r="B76" s="133"/>
      <c r="C76" s="138"/>
      <c r="D76" s="138"/>
      <c r="E76" s="138"/>
      <c r="F76" s="138"/>
      <c r="G76" s="138"/>
      <c r="H76" s="139"/>
      <c r="I76" s="140"/>
      <c r="J76" s="140"/>
      <c r="L76" s="136"/>
      <c r="M76" s="136"/>
      <c r="N76" s="136"/>
      <c r="O76" s="136"/>
      <c r="P76" s="131"/>
      <c r="Q76" s="128"/>
    </row>
    <row r="77" spans="1:17" s="164" customFormat="1" ht="12" customHeight="1">
      <c r="A77" s="137"/>
      <c r="B77" s="133"/>
      <c r="C77" s="138"/>
      <c r="D77" s="138"/>
      <c r="E77" s="138"/>
      <c r="F77" s="138"/>
      <c r="G77" s="138"/>
      <c r="H77" s="139"/>
      <c r="I77" s="140"/>
      <c r="J77" s="140"/>
      <c r="L77" s="136"/>
      <c r="M77" s="136"/>
      <c r="N77" s="136"/>
      <c r="O77" s="136"/>
      <c r="P77" s="131"/>
      <c r="Q77" s="128"/>
    </row>
    <row r="78" spans="1:17" s="164" customFormat="1" ht="12" customHeight="1">
      <c r="A78" s="137"/>
      <c r="B78" s="133"/>
      <c r="C78" s="138"/>
      <c r="D78" s="138"/>
      <c r="E78" s="138"/>
      <c r="F78" s="138"/>
      <c r="G78" s="138"/>
      <c r="H78" s="139"/>
      <c r="I78" s="140"/>
      <c r="J78" s="140"/>
      <c r="L78" s="136"/>
      <c r="M78" s="136"/>
      <c r="N78" s="136"/>
      <c r="O78" s="136"/>
      <c r="P78" s="131"/>
      <c r="Q78" s="128"/>
    </row>
    <row r="79" spans="1:17" s="164" customFormat="1" ht="12" customHeight="1">
      <c r="A79" s="137"/>
      <c r="B79" s="133"/>
      <c r="C79" s="138"/>
      <c r="D79" s="138"/>
      <c r="E79" s="138"/>
      <c r="F79" s="138"/>
      <c r="G79" s="138"/>
      <c r="H79" s="139"/>
      <c r="I79" s="140"/>
      <c r="J79" s="140"/>
      <c r="L79" s="136"/>
      <c r="M79" s="136"/>
      <c r="N79" s="136"/>
      <c r="O79" s="136"/>
      <c r="P79" s="131"/>
      <c r="Q79" s="128"/>
    </row>
    <row r="80" spans="1:17" s="164" customFormat="1" ht="12" customHeight="1">
      <c r="A80" s="137"/>
      <c r="B80" s="133"/>
      <c r="C80" s="138"/>
      <c r="D80" s="138"/>
      <c r="E80" s="138"/>
      <c r="F80" s="138"/>
      <c r="G80" s="138"/>
      <c r="H80" s="139"/>
      <c r="I80" s="140"/>
      <c r="J80" s="140"/>
      <c r="L80" s="136"/>
      <c r="M80" s="136"/>
      <c r="N80" s="136"/>
      <c r="O80" s="136"/>
      <c r="P80" s="131"/>
      <c r="Q80" s="128"/>
    </row>
    <row r="81" spans="1:17" s="164" customFormat="1" ht="12" customHeight="1">
      <c r="A81" s="137"/>
      <c r="B81" s="133"/>
      <c r="C81" s="138"/>
      <c r="D81" s="138"/>
      <c r="E81" s="138"/>
      <c r="F81" s="138"/>
      <c r="G81" s="138"/>
      <c r="H81" s="139"/>
      <c r="I81" s="140"/>
      <c r="J81" s="140"/>
      <c r="L81" s="136"/>
      <c r="M81" s="136"/>
      <c r="N81" s="136"/>
      <c r="O81" s="136"/>
      <c r="P81" s="131"/>
      <c r="Q81" s="128"/>
    </row>
    <row r="82" spans="1:17" s="164" customFormat="1" ht="12" customHeight="1">
      <c r="A82" s="137"/>
      <c r="B82" s="133"/>
      <c r="C82" s="138"/>
      <c r="D82" s="138"/>
      <c r="E82" s="138"/>
      <c r="F82" s="138"/>
      <c r="G82" s="138"/>
      <c r="H82" s="139"/>
      <c r="I82" s="140"/>
      <c r="J82" s="140"/>
      <c r="L82" s="136"/>
      <c r="M82" s="136"/>
      <c r="N82" s="136"/>
      <c r="O82" s="136"/>
      <c r="P82" s="131"/>
      <c r="Q82" s="128"/>
    </row>
    <row r="83" spans="1:17" s="164" customFormat="1" ht="12" customHeight="1">
      <c r="A83" s="137"/>
      <c r="B83" s="133"/>
      <c r="C83" s="138"/>
      <c r="D83" s="138"/>
      <c r="E83" s="138"/>
      <c r="F83" s="138"/>
      <c r="G83" s="138"/>
      <c r="H83" s="139"/>
      <c r="I83" s="140"/>
      <c r="J83" s="140"/>
      <c r="L83" s="136"/>
      <c r="M83" s="136"/>
      <c r="N83" s="136"/>
      <c r="O83" s="136"/>
      <c r="P83" s="131"/>
      <c r="Q83" s="128"/>
    </row>
    <row r="84" spans="1:17" s="164" customFormat="1" ht="12" customHeight="1">
      <c r="A84" s="137"/>
      <c r="B84" s="133"/>
      <c r="C84" s="138"/>
      <c r="D84" s="138"/>
      <c r="E84" s="138"/>
      <c r="F84" s="138"/>
      <c r="G84" s="138"/>
      <c r="H84" s="139"/>
      <c r="I84" s="140"/>
      <c r="J84" s="140"/>
      <c r="L84" s="136"/>
      <c r="M84" s="136"/>
      <c r="N84" s="136"/>
      <c r="O84" s="136"/>
      <c r="P84" s="131"/>
      <c r="Q84" s="128"/>
    </row>
    <row r="85" spans="1:17" s="164" customFormat="1" ht="12" customHeight="1">
      <c r="A85" s="137"/>
      <c r="B85" s="133"/>
      <c r="C85" s="138"/>
      <c r="D85" s="138"/>
      <c r="E85" s="138"/>
      <c r="F85" s="138"/>
      <c r="G85" s="138"/>
      <c r="H85" s="139"/>
      <c r="I85" s="140"/>
      <c r="J85" s="140"/>
      <c r="L85" s="136"/>
      <c r="M85" s="136"/>
      <c r="N85" s="136"/>
      <c r="O85" s="136"/>
      <c r="P85" s="131"/>
      <c r="Q85" s="128"/>
    </row>
    <row r="86" spans="1:17" s="164" customFormat="1" ht="12" customHeight="1">
      <c r="A86" s="137"/>
      <c r="B86" s="133"/>
      <c r="C86" s="138"/>
      <c r="D86" s="138"/>
      <c r="E86" s="138"/>
      <c r="F86" s="138"/>
      <c r="G86" s="138"/>
      <c r="H86" s="139"/>
      <c r="I86" s="140"/>
      <c r="J86" s="140"/>
      <c r="L86" s="136"/>
      <c r="M86" s="136"/>
      <c r="N86" s="136"/>
      <c r="O86" s="136"/>
      <c r="P86" s="131"/>
      <c r="Q86" s="128"/>
    </row>
    <row r="87" spans="1:17" s="164" customFormat="1" ht="12" customHeight="1">
      <c r="A87" s="137"/>
      <c r="B87" s="133"/>
      <c r="C87" s="138"/>
      <c r="D87" s="138"/>
      <c r="E87" s="138"/>
      <c r="F87" s="138"/>
      <c r="G87" s="138"/>
      <c r="H87" s="139"/>
      <c r="I87" s="140"/>
      <c r="J87" s="140"/>
      <c r="L87" s="136"/>
      <c r="M87" s="136"/>
      <c r="N87" s="136"/>
      <c r="O87" s="136"/>
      <c r="P87" s="131"/>
      <c r="Q87" s="128"/>
    </row>
    <row r="88" spans="1:17" s="164" customFormat="1" ht="12" customHeight="1">
      <c r="A88" s="137"/>
      <c r="B88" s="133"/>
      <c r="C88" s="138"/>
      <c r="D88" s="138"/>
      <c r="E88" s="138"/>
      <c r="F88" s="138"/>
      <c r="G88" s="138"/>
      <c r="H88" s="139"/>
      <c r="I88" s="140"/>
      <c r="J88" s="140"/>
      <c r="L88" s="136"/>
      <c r="M88" s="136"/>
      <c r="N88" s="136"/>
      <c r="O88" s="136"/>
      <c r="P88" s="131"/>
      <c r="Q88" s="128"/>
    </row>
    <row r="89" spans="1:17" s="164" customFormat="1" ht="12" customHeight="1">
      <c r="A89" s="137"/>
      <c r="B89" s="133"/>
      <c r="C89" s="138"/>
      <c r="D89" s="138"/>
      <c r="E89" s="138"/>
      <c r="F89" s="138"/>
      <c r="G89" s="138"/>
      <c r="H89" s="139"/>
      <c r="I89" s="140"/>
      <c r="J89" s="140"/>
      <c r="L89" s="136"/>
      <c r="M89" s="136"/>
      <c r="N89" s="136"/>
      <c r="O89" s="136"/>
      <c r="P89" s="131"/>
      <c r="Q89" s="128"/>
    </row>
    <row r="90" spans="1:17" s="164" customFormat="1" ht="12" customHeight="1">
      <c r="A90" s="137"/>
      <c r="B90" s="133"/>
      <c r="C90" s="138"/>
      <c r="D90" s="138"/>
      <c r="E90" s="138"/>
      <c r="F90" s="138"/>
      <c r="G90" s="138"/>
      <c r="H90" s="139"/>
      <c r="I90" s="140"/>
      <c r="J90" s="140"/>
      <c r="L90" s="136"/>
      <c r="M90" s="136"/>
      <c r="N90" s="136"/>
      <c r="O90" s="136"/>
      <c r="P90" s="131"/>
      <c r="Q90" s="128"/>
    </row>
    <row r="91" spans="1:17" s="164" customFormat="1" ht="12" customHeight="1">
      <c r="A91" s="137"/>
      <c r="B91" s="133"/>
      <c r="C91" s="138"/>
      <c r="D91" s="138"/>
      <c r="E91" s="138"/>
      <c r="F91" s="138"/>
      <c r="G91" s="138"/>
      <c r="H91" s="139"/>
      <c r="I91" s="140"/>
      <c r="J91" s="140"/>
      <c r="L91" s="136"/>
      <c r="M91" s="136"/>
      <c r="N91" s="136"/>
      <c r="O91" s="136"/>
      <c r="P91" s="131"/>
      <c r="Q91" s="128"/>
    </row>
    <row r="92" spans="1:17" s="164" customFormat="1" ht="12" customHeight="1">
      <c r="A92" s="137"/>
      <c r="B92" s="133"/>
      <c r="C92" s="138"/>
      <c r="D92" s="138"/>
      <c r="E92" s="138"/>
      <c r="F92" s="138"/>
      <c r="G92" s="138"/>
      <c r="H92" s="139"/>
      <c r="I92" s="140"/>
      <c r="J92" s="140"/>
      <c r="L92" s="136"/>
      <c r="M92" s="136"/>
      <c r="N92" s="136"/>
      <c r="O92" s="136"/>
      <c r="P92" s="131"/>
      <c r="Q92" s="128"/>
    </row>
    <row r="93" spans="1:17" s="164" customFormat="1" ht="12" customHeight="1">
      <c r="A93" s="137"/>
      <c r="B93" s="133"/>
      <c r="C93" s="138"/>
      <c r="D93" s="138"/>
      <c r="E93" s="138"/>
      <c r="F93" s="138"/>
      <c r="G93" s="138"/>
      <c r="H93" s="139"/>
      <c r="I93" s="140"/>
      <c r="J93" s="140"/>
      <c r="L93" s="136"/>
      <c r="M93" s="136"/>
      <c r="N93" s="136"/>
      <c r="O93" s="136"/>
      <c r="P93" s="131"/>
      <c r="Q93" s="128"/>
    </row>
    <row r="94" spans="1:17" s="164" customFormat="1" ht="12" customHeight="1">
      <c r="A94" s="137"/>
      <c r="B94" s="133"/>
      <c r="C94" s="138"/>
      <c r="D94" s="138"/>
      <c r="E94" s="138"/>
      <c r="F94" s="138"/>
      <c r="G94" s="138"/>
      <c r="H94" s="139"/>
      <c r="I94" s="140"/>
      <c r="J94" s="140"/>
      <c r="L94" s="136"/>
      <c r="M94" s="136"/>
      <c r="N94" s="136"/>
      <c r="O94" s="136"/>
      <c r="P94" s="131"/>
      <c r="Q94" s="128"/>
    </row>
    <row r="95" spans="1:17" s="164" customFormat="1" ht="12" customHeight="1">
      <c r="A95" s="137"/>
      <c r="B95" s="133"/>
      <c r="C95" s="138"/>
      <c r="D95" s="138"/>
      <c r="E95" s="138"/>
      <c r="F95" s="138"/>
      <c r="G95" s="138"/>
      <c r="H95" s="139"/>
      <c r="I95" s="140"/>
      <c r="J95" s="140"/>
      <c r="L95" s="136"/>
      <c r="M95" s="136"/>
      <c r="N95" s="136"/>
      <c r="O95" s="136"/>
      <c r="P95" s="131"/>
      <c r="Q95" s="128"/>
    </row>
    <row r="96" spans="1:17" s="164" customFormat="1" ht="12" customHeight="1">
      <c r="A96" s="137"/>
      <c r="B96" s="133"/>
      <c r="C96" s="138"/>
      <c r="D96" s="138"/>
      <c r="E96" s="138"/>
      <c r="F96" s="138"/>
      <c r="G96" s="138"/>
      <c r="H96" s="139"/>
      <c r="I96" s="140"/>
      <c r="J96" s="140"/>
      <c r="L96" s="136"/>
      <c r="M96" s="136"/>
      <c r="N96" s="136"/>
      <c r="O96" s="136"/>
      <c r="P96" s="131"/>
      <c r="Q96" s="128"/>
    </row>
    <row r="97" spans="1:17" s="164" customFormat="1" ht="12" customHeight="1">
      <c r="A97" s="137"/>
      <c r="B97" s="133"/>
      <c r="C97" s="138"/>
      <c r="D97" s="138"/>
      <c r="E97" s="138"/>
      <c r="F97" s="138"/>
      <c r="G97" s="138"/>
      <c r="H97" s="139"/>
      <c r="I97" s="140"/>
      <c r="J97" s="140"/>
      <c r="L97" s="136"/>
      <c r="M97" s="136"/>
      <c r="N97" s="136"/>
      <c r="O97" s="136"/>
      <c r="P97" s="131"/>
      <c r="Q97" s="128"/>
    </row>
    <row r="98" spans="1:17" s="164" customFormat="1" ht="12" customHeight="1">
      <c r="A98" s="137"/>
      <c r="B98" s="133"/>
      <c r="C98" s="138"/>
      <c r="D98" s="138"/>
      <c r="E98" s="138"/>
      <c r="F98" s="138"/>
      <c r="G98" s="138"/>
      <c r="H98" s="139"/>
      <c r="I98" s="140"/>
      <c r="J98" s="140"/>
      <c r="L98" s="136"/>
      <c r="M98" s="136"/>
      <c r="N98" s="136"/>
      <c r="O98" s="136"/>
      <c r="P98" s="131"/>
      <c r="Q98" s="128"/>
    </row>
    <row r="99" spans="1:17" s="164" customFormat="1" ht="12" customHeight="1">
      <c r="A99" s="137"/>
      <c r="B99" s="133"/>
      <c r="C99" s="138"/>
      <c r="D99" s="138"/>
      <c r="E99" s="138"/>
      <c r="F99" s="138"/>
      <c r="G99" s="138"/>
      <c r="H99" s="139"/>
      <c r="I99" s="140"/>
      <c r="J99" s="140"/>
      <c r="L99" s="136"/>
      <c r="M99" s="136"/>
      <c r="N99" s="136"/>
      <c r="O99" s="136"/>
      <c r="P99" s="131"/>
      <c r="Q99" s="128"/>
    </row>
    <row r="100" spans="1:17" s="164" customFormat="1" ht="12" customHeight="1">
      <c r="A100" s="137"/>
      <c r="B100" s="133"/>
      <c r="C100" s="138"/>
      <c r="D100" s="138"/>
      <c r="E100" s="138"/>
      <c r="F100" s="138"/>
      <c r="G100" s="138"/>
      <c r="H100" s="139"/>
      <c r="I100" s="140"/>
      <c r="J100" s="140"/>
      <c r="L100" s="136"/>
      <c r="M100" s="136"/>
      <c r="N100" s="136"/>
      <c r="O100" s="136"/>
      <c r="P100" s="131"/>
      <c r="Q100" s="128"/>
    </row>
    <row r="101" spans="1:17" s="164" customFormat="1" ht="12" customHeight="1">
      <c r="A101" s="137"/>
      <c r="B101" s="133"/>
      <c r="C101" s="138"/>
      <c r="D101" s="138"/>
      <c r="E101" s="138"/>
      <c r="F101" s="138"/>
      <c r="G101" s="138"/>
      <c r="H101" s="139"/>
      <c r="I101" s="140"/>
      <c r="J101" s="140"/>
      <c r="L101" s="136"/>
      <c r="M101" s="136"/>
      <c r="N101" s="136"/>
      <c r="O101" s="136"/>
      <c r="P101" s="131"/>
      <c r="Q101" s="128"/>
    </row>
    <row r="102" spans="1:17" s="164" customFormat="1" ht="12" customHeight="1">
      <c r="A102" s="137"/>
      <c r="B102" s="133"/>
      <c r="C102" s="138"/>
      <c r="D102" s="138"/>
      <c r="E102" s="138"/>
      <c r="F102" s="138"/>
      <c r="G102" s="138"/>
      <c r="H102" s="139"/>
      <c r="I102" s="140"/>
      <c r="J102" s="140"/>
      <c r="L102" s="136"/>
      <c r="M102" s="136"/>
      <c r="N102" s="136"/>
      <c r="O102" s="136"/>
      <c r="P102" s="131"/>
      <c r="Q102" s="128"/>
    </row>
    <row r="103" spans="1:17" s="164" customFormat="1" ht="12" customHeight="1">
      <c r="A103" s="137"/>
      <c r="B103" s="133"/>
      <c r="C103" s="138"/>
      <c r="D103" s="138"/>
      <c r="E103" s="138"/>
      <c r="F103" s="138"/>
      <c r="G103" s="138"/>
      <c r="H103" s="139"/>
      <c r="I103" s="140"/>
      <c r="J103" s="140"/>
      <c r="L103" s="136"/>
      <c r="M103" s="136"/>
      <c r="N103" s="136"/>
      <c r="O103" s="136"/>
      <c r="P103" s="131"/>
      <c r="Q103" s="128"/>
    </row>
    <row r="104" spans="1:17" s="164" customFormat="1" ht="12" customHeight="1">
      <c r="A104" s="137"/>
      <c r="B104" s="133"/>
      <c r="C104" s="138"/>
      <c r="D104" s="138"/>
      <c r="E104" s="138"/>
      <c r="F104" s="138"/>
      <c r="G104" s="138"/>
      <c r="H104" s="139"/>
      <c r="I104" s="140"/>
      <c r="J104" s="140"/>
      <c r="L104" s="136"/>
      <c r="M104" s="136"/>
      <c r="N104" s="136"/>
      <c r="O104" s="136"/>
      <c r="P104" s="131"/>
      <c r="Q104" s="128"/>
    </row>
    <row r="105" spans="1:17" s="164" customFormat="1" ht="12" customHeight="1">
      <c r="A105" s="137"/>
      <c r="B105" s="133"/>
      <c r="C105" s="138"/>
      <c r="D105" s="138"/>
      <c r="E105" s="138"/>
      <c r="F105" s="138"/>
      <c r="G105" s="138"/>
      <c r="H105" s="139"/>
      <c r="I105" s="140"/>
      <c r="J105" s="140"/>
      <c r="L105" s="136"/>
      <c r="M105" s="136"/>
      <c r="N105" s="136"/>
      <c r="O105" s="136"/>
      <c r="P105" s="131"/>
      <c r="Q105" s="128"/>
    </row>
    <row r="106" spans="1:17" s="164" customFormat="1" ht="12" customHeight="1">
      <c r="A106" s="137"/>
      <c r="B106" s="133"/>
      <c r="C106" s="138"/>
      <c r="D106" s="138"/>
      <c r="E106" s="138"/>
      <c r="F106" s="138"/>
      <c r="G106" s="138"/>
      <c r="H106" s="139"/>
      <c r="I106" s="140"/>
      <c r="J106" s="140"/>
      <c r="L106" s="136"/>
      <c r="M106" s="136"/>
      <c r="N106" s="136"/>
      <c r="O106" s="136"/>
      <c r="P106" s="131"/>
      <c r="Q106" s="128"/>
    </row>
    <row r="107" spans="1:17" s="164" customFormat="1" ht="12" customHeight="1">
      <c r="A107" s="137"/>
      <c r="B107" s="133"/>
      <c r="C107" s="138"/>
      <c r="D107" s="138"/>
      <c r="E107" s="138"/>
      <c r="F107" s="138"/>
      <c r="G107" s="138"/>
      <c r="H107" s="139"/>
      <c r="I107" s="140"/>
      <c r="J107" s="140"/>
      <c r="L107" s="136"/>
      <c r="M107" s="136"/>
      <c r="N107" s="136"/>
      <c r="O107" s="136"/>
      <c r="P107" s="131"/>
      <c r="Q107" s="128"/>
    </row>
    <row r="108" spans="1:17" s="164" customFormat="1" ht="12" customHeight="1">
      <c r="A108" s="137"/>
      <c r="B108" s="133"/>
      <c r="C108" s="138"/>
      <c r="D108" s="138"/>
      <c r="E108" s="138"/>
      <c r="F108" s="138"/>
      <c r="G108" s="138"/>
      <c r="H108" s="139"/>
      <c r="I108" s="140"/>
      <c r="J108" s="140"/>
      <c r="L108" s="136"/>
      <c r="M108" s="136"/>
      <c r="N108" s="136"/>
      <c r="O108" s="136"/>
      <c r="P108" s="131"/>
      <c r="Q108" s="128"/>
    </row>
    <row r="109" spans="1:17" s="164" customFormat="1" ht="12" customHeight="1">
      <c r="A109" s="137"/>
      <c r="B109" s="133"/>
      <c r="C109" s="138"/>
      <c r="D109" s="138"/>
      <c r="E109" s="138"/>
      <c r="F109" s="138"/>
      <c r="G109" s="138"/>
      <c r="H109" s="139"/>
      <c r="I109" s="140"/>
      <c r="J109" s="140"/>
      <c r="L109" s="136"/>
      <c r="M109" s="136"/>
      <c r="N109" s="136"/>
      <c r="O109" s="136"/>
      <c r="P109" s="131"/>
      <c r="Q109" s="128"/>
    </row>
    <row r="110" spans="1:17" s="164" customFormat="1" ht="12" customHeight="1">
      <c r="A110" s="137"/>
      <c r="B110" s="133"/>
      <c r="C110" s="138"/>
      <c r="D110" s="138"/>
      <c r="E110" s="138"/>
      <c r="F110" s="138"/>
      <c r="G110" s="138"/>
      <c r="H110" s="139"/>
      <c r="I110" s="140"/>
      <c r="J110" s="140"/>
      <c r="L110" s="136"/>
      <c r="M110" s="136"/>
      <c r="N110" s="136"/>
      <c r="O110" s="136"/>
      <c r="P110" s="131"/>
      <c r="Q110" s="128"/>
    </row>
    <row r="111" spans="1:17" s="164" customFormat="1" ht="12" customHeight="1">
      <c r="A111" s="137"/>
      <c r="B111" s="133"/>
      <c r="C111" s="138"/>
      <c r="D111" s="138"/>
      <c r="E111" s="138"/>
      <c r="F111" s="138"/>
      <c r="G111" s="138"/>
      <c r="H111" s="139"/>
      <c r="I111" s="140"/>
      <c r="J111" s="140"/>
      <c r="L111" s="136"/>
      <c r="M111" s="136"/>
      <c r="N111" s="136"/>
      <c r="O111" s="136"/>
      <c r="P111" s="131"/>
      <c r="Q111" s="128"/>
    </row>
    <row r="112" spans="1:17" s="164" customFormat="1" ht="12" customHeight="1">
      <c r="A112" s="137"/>
      <c r="B112" s="133"/>
      <c r="C112" s="138"/>
      <c r="D112" s="138"/>
      <c r="E112" s="138"/>
      <c r="F112" s="138"/>
      <c r="G112" s="138"/>
      <c r="H112" s="139"/>
      <c r="I112" s="140"/>
      <c r="J112" s="140"/>
      <c r="L112" s="136"/>
      <c r="M112" s="136"/>
      <c r="N112" s="136"/>
      <c r="O112" s="136"/>
      <c r="P112" s="131"/>
      <c r="Q112" s="128"/>
    </row>
    <row r="113" spans="1:17" s="164" customFormat="1" ht="12" customHeight="1">
      <c r="A113" s="137"/>
      <c r="B113" s="133"/>
      <c r="C113" s="138"/>
      <c r="D113" s="138"/>
      <c r="E113" s="138"/>
      <c r="F113" s="138"/>
      <c r="G113" s="138"/>
      <c r="H113" s="139"/>
      <c r="I113" s="140"/>
      <c r="J113" s="140"/>
      <c r="L113" s="136"/>
      <c r="M113" s="136"/>
      <c r="N113" s="136"/>
      <c r="O113" s="136"/>
      <c r="P113" s="131"/>
      <c r="Q113" s="128"/>
    </row>
    <row r="114" spans="1:17" s="164" customFormat="1" ht="12" customHeight="1">
      <c r="A114" s="137"/>
      <c r="B114" s="133"/>
      <c r="C114" s="138"/>
      <c r="D114" s="138"/>
      <c r="E114" s="138"/>
      <c r="F114" s="138"/>
      <c r="G114" s="138"/>
      <c r="H114" s="139"/>
      <c r="I114" s="140"/>
      <c r="J114" s="140"/>
      <c r="L114" s="136"/>
      <c r="M114" s="136"/>
      <c r="N114" s="136"/>
      <c r="O114" s="136"/>
      <c r="P114" s="131"/>
      <c r="Q114" s="128"/>
    </row>
    <row r="115" spans="1:17" s="164" customFormat="1" ht="12" customHeight="1">
      <c r="A115" s="137"/>
      <c r="B115" s="133"/>
      <c r="C115" s="138"/>
      <c r="D115" s="138"/>
      <c r="E115" s="138"/>
      <c r="F115" s="138"/>
      <c r="G115" s="138"/>
      <c r="H115" s="139"/>
      <c r="I115" s="140"/>
      <c r="J115" s="140"/>
      <c r="L115" s="136"/>
      <c r="M115" s="136"/>
      <c r="N115" s="136"/>
      <c r="O115" s="136"/>
      <c r="P115" s="131"/>
      <c r="Q115" s="128"/>
    </row>
    <row r="116" spans="1:17" s="164" customFormat="1" ht="12" customHeight="1">
      <c r="A116" s="137"/>
      <c r="B116" s="133"/>
      <c r="C116" s="138"/>
      <c r="D116" s="138"/>
      <c r="E116" s="138"/>
      <c r="F116" s="138"/>
      <c r="G116" s="138"/>
      <c r="H116" s="139"/>
      <c r="I116" s="140"/>
      <c r="J116" s="140"/>
      <c r="L116" s="136"/>
      <c r="M116" s="136"/>
      <c r="N116" s="136"/>
      <c r="O116" s="136"/>
      <c r="P116" s="131"/>
      <c r="Q116" s="128"/>
    </row>
    <row r="117" spans="1:17" s="164" customFormat="1" ht="12" customHeight="1">
      <c r="A117" s="137"/>
      <c r="B117" s="133"/>
      <c r="C117" s="138"/>
      <c r="D117" s="138"/>
      <c r="E117" s="138"/>
      <c r="F117" s="138"/>
      <c r="G117" s="138"/>
      <c r="H117" s="139"/>
      <c r="I117" s="140"/>
      <c r="J117" s="140"/>
      <c r="L117" s="136"/>
      <c r="M117" s="136"/>
      <c r="N117" s="136"/>
      <c r="O117" s="136"/>
      <c r="P117" s="131"/>
      <c r="Q117" s="128"/>
    </row>
    <row r="118" spans="1:17" s="164" customFormat="1" ht="12" customHeight="1">
      <c r="A118" s="137"/>
      <c r="B118" s="133"/>
      <c r="C118" s="138"/>
      <c r="D118" s="138"/>
      <c r="E118" s="138"/>
      <c r="F118" s="138"/>
      <c r="G118" s="138"/>
      <c r="H118" s="139"/>
      <c r="I118" s="140"/>
      <c r="J118" s="140"/>
      <c r="L118" s="136"/>
      <c r="M118" s="136"/>
      <c r="N118" s="136"/>
      <c r="O118" s="136"/>
      <c r="P118" s="131"/>
      <c r="Q118" s="128"/>
    </row>
    <row r="119" spans="1:17" s="164" customFormat="1" ht="12" customHeight="1">
      <c r="A119" s="137"/>
      <c r="B119" s="133"/>
      <c r="C119" s="138"/>
      <c r="D119" s="138"/>
      <c r="E119" s="138"/>
      <c r="F119" s="138"/>
      <c r="G119" s="138"/>
      <c r="H119" s="139"/>
      <c r="I119" s="140"/>
      <c r="J119" s="140"/>
      <c r="L119" s="136"/>
      <c r="M119" s="136"/>
      <c r="N119" s="136"/>
      <c r="O119" s="136"/>
      <c r="P119" s="131"/>
      <c r="Q119" s="128"/>
    </row>
    <row r="120" spans="1:17" s="164" customFormat="1" ht="12" customHeight="1">
      <c r="A120" s="137"/>
      <c r="B120" s="133"/>
      <c r="C120" s="138"/>
      <c r="D120" s="138"/>
      <c r="E120" s="138"/>
      <c r="F120" s="138"/>
      <c r="G120" s="138"/>
      <c r="H120" s="139"/>
      <c r="I120" s="140"/>
      <c r="J120" s="140"/>
      <c r="L120" s="136"/>
      <c r="M120" s="136"/>
      <c r="N120" s="136"/>
      <c r="O120" s="136"/>
      <c r="P120" s="131"/>
      <c r="Q120" s="128"/>
    </row>
    <row r="121" spans="1:17" s="164" customFormat="1" ht="12" customHeight="1">
      <c r="A121" s="137"/>
      <c r="B121" s="133"/>
      <c r="C121" s="138"/>
      <c r="D121" s="138"/>
      <c r="E121" s="138"/>
      <c r="F121" s="138"/>
      <c r="G121" s="138"/>
      <c r="H121" s="139"/>
      <c r="I121" s="140"/>
      <c r="J121" s="140"/>
      <c r="L121" s="136"/>
      <c r="M121" s="136"/>
      <c r="N121" s="136"/>
      <c r="O121" s="136"/>
      <c r="P121" s="131"/>
      <c r="Q121" s="128"/>
    </row>
    <row r="122" spans="1:17" s="164" customFormat="1" ht="12" customHeight="1">
      <c r="A122" s="137"/>
      <c r="B122" s="133"/>
      <c r="C122" s="138"/>
      <c r="D122" s="138"/>
      <c r="E122" s="138"/>
      <c r="F122" s="138"/>
      <c r="G122" s="138"/>
      <c r="H122" s="139"/>
      <c r="I122" s="140"/>
      <c r="J122" s="140"/>
      <c r="L122" s="136"/>
      <c r="M122" s="136"/>
      <c r="N122" s="136"/>
      <c r="O122" s="136"/>
      <c r="P122" s="131"/>
      <c r="Q122" s="128"/>
    </row>
    <row r="123" spans="1:17" s="164" customFormat="1" ht="12" customHeight="1">
      <c r="A123" s="137"/>
      <c r="B123" s="133"/>
      <c r="C123" s="138"/>
      <c r="D123" s="138"/>
      <c r="E123" s="138"/>
      <c r="F123" s="138"/>
      <c r="G123" s="138"/>
      <c r="H123" s="139"/>
      <c r="I123" s="140"/>
      <c r="J123" s="140"/>
      <c r="L123" s="136"/>
      <c r="M123" s="136"/>
      <c r="N123" s="136"/>
      <c r="O123" s="136"/>
      <c r="P123" s="131"/>
      <c r="Q123" s="128"/>
    </row>
    <row r="124" spans="1:17" s="164" customFormat="1" ht="12" customHeight="1">
      <c r="A124" s="137"/>
      <c r="B124" s="133"/>
      <c r="C124" s="138"/>
      <c r="D124" s="138"/>
      <c r="E124" s="138"/>
      <c r="F124" s="138"/>
      <c r="G124" s="138"/>
      <c r="H124" s="139"/>
      <c r="I124" s="140"/>
      <c r="J124" s="140"/>
      <c r="L124" s="136"/>
      <c r="M124" s="136"/>
      <c r="N124" s="136"/>
      <c r="O124" s="136"/>
      <c r="P124" s="131"/>
      <c r="Q124" s="128"/>
    </row>
  </sheetData>
  <mergeCells count="19">
    <mergeCell ref="B17:M17"/>
    <mergeCell ref="B10:O10"/>
    <mergeCell ref="F5:H5"/>
    <mergeCell ref="B13:H13"/>
    <mergeCell ref="O5:O6"/>
    <mergeCell ref="M5:M6"/>
    <mergeCell ref="N5:N6"/>
    <mergeCell ref="D5:D6"/>
    <mergeCell ref="E5:E6"/>
    <mergeCell ref="Q8:Q9"/>
    <mergeCell ref="A8:N8"/>
    <mergeCell ref="A9:N9"/>
    <mergeCell ref="I5:K5"/>
    <mergeCell ref="L5:L6"/>
    <mergeCell ref="P5:P6"/>
    <mergeCell ref="A5:A6"/>
    <mergeCell ref="B5:B6"/>
    <mergeCell ref="C5:C6"/>
    <mergeCell ref="Q5:Q6"/>
  </mergeCells>
  <phoneticPr fontId="2" type="noConversion"/>
  <pageMargins left="0.74803149606299213" right="0.74803149606299213" top="0.63" bottom="0.66" header="0.51181102362204722" footer="0.51181102362204722"/>
  <pageSetup paperSize="9" scale="61" fitToHeight="3" orientation="landscape" r:id="rId1"/>
  <headerFooter alignWithMargins="0"/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Q8"/>
  <sheetViews>
    <sheetView view="pageBreakPreview" zoomScale="60" zoomScaleNormal="85" workbookViewId="0">
      <selection activeCell="O6" sqref="O6"/>
    </sheetView>
  </sheetViews>
  <sheetFormatPr defaultRowHeight="13.5"/>
  <cols>
    <col min="1" max="1" width="3.77734375" customWidth="1"/>
    <col min="2" max="2" width="19.77734375" customWidth="1"/>
    <col min="3" max="3" width="36.77734375" customWidth="1"/>
    <col min="4" max="5" width="9.6640625" customWidth="1"/>
    <col min="6" max="7" width="11.5546875" bestFit="1" customWidth="1"/>
    <col min="8" max="8" width="9.6640625" customWidth="1"/>
    <col min="9" max="10" width="11.5546875" bestFit="1" customWidth="1"/>
    <col min="11" max="16" width="9.6640625" customWidth="1"/>
  </cols>
  <sheetData>
    <row r="1" spans="1:17" ht="50.25" customHeight="1">
      <c r="A1" s="322"/>
      <c r="B1" s="659" t="s">
        <v>538</v>
      </c>
      <c r="C1" s="327">
        <v>0</v>
      </c>
      <c r="D1" s="322"/>
      <c r="E1" s="323"/>
      <c r="F1" s="322"/>
      <c r="G1" s="322"/>
      <c r="H1" s="121"/>
      <c r="I1" s="121"/>
      <c r="J1" s="121"/>
      <c r="K1" s="282"/>
      <c r="L1" s="121"/>
      <c r="M1" s="121"/>
      <c r="N1" s="121"/>
      <c r="O1" s="121"/>
      <c r="P1" s="122"/>
      <c r="Q1" s="124"/>
    </row>
    <row r="2" spans="1:17" ht="19.5">
      <c r="A2" s="322"/>
      <c r="B2" s="323"/>
      <c r="C2" s="322"/>
      <c r="D2" s="322"/>
      <c r="E2" s="323"/>
      <c r="F2" s="322"/>
      <c r="G2" s="322"/>
      <c r="H2" s="121"/>
      <c r="I2" s="121"/>
      <c r="J2" s="121"/>
      <c r="K2" s="282"/>
      <c r="L2" s="121"/>
      <c r="M2" s="121"/>
      <c r="N2" s="121"/>
      <c r="O2" s="121"/>
      <c r="P2" s="122"/>
      <c r="Q2" s="124"/>
    </row>
    <row r="3" spans="1:17" ht="20.25" thickBot="1">
      <c r="A3" s="322"/>
      <c r="B3" s="323" t="s">
        <v>41</v>
      </c>
      <c r="C3" s="322"/>
      <c r="D3" s="322"/>
      <c r="E3" s="323"/>
      <c r="F3" s="322"/>
      <c r="G3" s="322"/>
      <c r="H3" s="121"/>
      <c r="I3" s="121"/>
      <c r="J3" s="121"/>
      <c r="K3" s="282"/>
      <c r="L3" s="121"/>
      <c r="M3" s="121"/>
      <c r="N3" s="121"/>
      <c r="O3" s="121"/>
      <c r="P3" s="122"/>
      <c r="Q3" s="124"/>
    </row>
    <row r="4" spans="1:17" ht="13.5" customHeight="1">
      <c r="A4" s="948" t="s">
        <v>34</v>
      </c>
      <c r="B4" s="957" t="s">
        <v>35</v>
      </c>
      <c r="C4" s="959" t="s">
        <v>36</v>
      </c>
      <c r="D4" s="959" t="s">
        <v>37</v>
      </c>
      <c r="E4" s="955" t="s">
        <v>42</v>
      </c>
      <c r="F4" s="961" t="s">
        <v>43</v>
      </c>
      <c r="G4" s="951"/>
      <c r="H4" s="952"/>
      <c r="I4" s="951" t="s">
        <v>44</v>
      </c>
      <c r="J4" s="951"/>
      <c r="K4" s="952"/>
      <c r="L4" s="953" t="s">
        <v>45</v>
      </c>
      <c r="M4" s="955" t="s">
        <v>539</v>
      </c>
      <c r="N4" s="946" t="s">
        <v>540</v>
      </c>
      <c r="O4" s="946" t="s">
        <v>541</v>
      </c>
      <c r="P4" s="946" t="s">
        <v>542</v>
      </c>
      <c r="Q4" s="941" t="s">
        <v>543</v>
      </c>
    </row>
    <row r="5" spans="1:17" ht="24">
      <c r="A5" s="949"/>
      <c r="B5" s="958"/>
      <c r="C5" s="960"/>
      <c r="D5" s="960"/>
      <c r="E5" s="956"/>
      <c r="F5" s="183" t="s">
        <v>544</v>
      </c>
      <c r="G5" s="183" t="s">
        <v>545</v>
      </c>
      <c r="H5" s="184" t="s">
        <v>546</v>
      </c>
      <c r="I5" s="183" t="s">
        <v>547</v>
      </c>
      <c r="J5" s="183" t="s">
        <v>548</v>
      </c>
      <c r="K5" s="184" t="s">
        <v>549</v>
      </c>
      <c r="L5" s="954"/>
      <c r="M5" s="956"/>
      <c r="N5" s="947"/>
      <c r="O5" s="947"/>
      <c r="P5" s="947"/>
      <c r="Q5" s="942"/>
    </row>
    <row r="6" spans="1:17" ht="79.5" customHeight="1">
      <c r="A6" s="190">
        <v>1</v>
      </c>
      <c r="B6" s="192" t="s">
        <v>550</v>
      </c>
      <c r="C6" s="192" t="s">
        <v>551</v>
      </c>
      <c r="D6" s="201" t="s">
        <v>552</v>
      </c>
      <c r="E6" s="193">
        <v>9891</v>
      </c>
      <c r="F6" s="525">
        <v>38425</v>
      </c>
      <c r="G6" s="525">
        <v>40899</v>
      </c>
      <c r="H6" s="649">
        <f>IF(G6-F6+1&gt;=2*365,2*365,G6-F6+1)</f>
        <v>730</v>
      </c>
      <c r="I6" s="525">
        <v>38425</v>
      </c>
      <c r="J6" s="525">
        <v>40899</v>
      </c>
      <c r="K6" s="649">
        <f>IF(J6-I6+1&gt;=2*365,2*365,J6-I6+1)</f>
        <v>730</v>
      </c>
      <c r="L6" s="650" t="s">
        <v>553</v>
      </c>
      <c r="M6" s="193">
        <v>1287</v>
      </c>
      <c r="N6" s="351">
        <f>E6-M6</f>
        <v>8604</v>
      </c>
      <c r="O6" s="652">
        <f>N6/(배점기준!$G$9/1000)</f>
        <v>5.7139859169240639</v>
      </c>
      <c r="P6" s="185">
        <f>(IF(N6&lt;231,0,IF(O6&gt;=2.5,3,IF(O6&gt;=2,2,IF(O6&gt;=1.5,1.5,IF(O6&gt;=1,1,IF(O6&gt;=0.5,0.5,0.25)))))))*K6/H6</f>
        <v>3</v>
      </c>
      <c r="Q6" s="784"/>
    </row>
    <row r="7" spans="1:17" ht="50.1" customHeight="1">
      <c r="A7" s="943" t="s">
        <v>554</v>
      </c>
      <c r="B7" s="944"/>
      <c r="C7" s="944"/>
      <c r="D7" s="944"/>
      <c r="E7" s="944"/>
      <c r="F7" s="944"/>
      <c r="G7" s="944"/>
      <c r="H7" s="944"/>
      <c r="I7" s="944"/>
      <c r="J7" s="944"/>
      <c r="K7" s="944"/>
      <c r="L7" s="944"/>
      <c r="M7" s="944"/>
      <c r="N7" s="945"/>
      <c r="O7" s="328"/>
      <c r="P7" s="353">
        <f>SUM(P6:P6)</f>
        <v>3</v>
      </c>
      <c r="Q7" s="349"/>
    </row>
    <row r="8" spans="1:17" ht="50.1" customHeight="1" thickBot="1">
      <c r="A8" s="964" t="s">
        <v>555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965"/>
      <c r="M8" s="965"/>
      <c r="N8" s="966"/>
      <c r="O8" s="329"/>
      <c r="P8" s="352">
        <f>P7</f>
        <v>3</v>
      </c>
      <c r="Q8" s="350"/>
    </row>
  </sheetData>
  <mergeCells count="15">
    <mergeCell ref="Q4:Q5"/>
    <mergeCell ref="A7:N7"/>
    <mergeCell ref="A8:N8"/>
    <mergeCell ref="M4:M5"/>
    <mergeCell ref="N4:N5"/>
    <mergeCell ref="O4:O5"/>
    <mergeCell ref="P4:P5"/>
    <mergeCell ref="E4:E5"/>
    <mergeCell ref="F4:H4"/>
    <mergeCell ref="I4:K4"/>
    <mergeCell ref="L4:L5"/>
    <mergeCell ref="A4:A5"/>
    <mergeCell ref="B4:B5"/>
    <mergeCell ref="C4:C5"/>
    <mergeCell ref="D4:D5"/>
  </mergeCells>
  <phoneticPr fontId="2" type="noConversion"/>
  <pageMargins left="0.75" right="0.75" top="1" bottom="1" header="0.5" footer="0.5"/>
  <pageSetup paperSize="9" scale="5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Q8"/>
  <sheetViews>
    <sheetView view="pageBreakPreview" topLeftCell="B1" zoomScale="60" zoomScaleNormal="85" workbookViewId="0">
      <selection activeCell="O6" sqref="O6"/>
    </sheetView>
  </sheetViews>
  <sheetFormatPr defaultRowHeight="13.5"/>
  <cols>
    <col min="1" max="1" width="3.77734375" customWidth="1"/>
    <col min="2" max="2" width="33.77734375" customWidth="1"/>
    <col min="3" max="3" width="36.77734375" customWidth="1"/>
    <col min="4" max="16" width="9.6640625" customWidth="1"/>
  </cols>
  <sheetData>
    <row r="1" spans="1:17" ht="50.25" customHeight="1">
      <c r="A1" s="322"/>
      <c r="B1" s="659" t="s">
        <v>467</v>
      </c>
      <c r="C1" s="327">
        <v>0</v>
      </c>
      <c r="D1" s="322"/>
      <c r="E1" s="323"/>
      <c r="F1" s="322"/>
      <c r="G1" s="322"/>
      <c r="H1" s="121"/>
      <c r="I1" s="121"/>
      <c r="J1" s="121"/>
      <c r="K1" s="282"/>
      <c r="L1" s="121"/>
      <c r="M1" s="121"/>
      <c r="N1" s="121"/>
      <c r="O1" s="121"/>
      <c r="P1" s="122"/>
      <c r="Q1" s="124"/>
    </row>
    <row r="2" spans="1:17" ht="19.5">
      <c r="A2" s="322"/>
      <c r="B2" s="323"/>
      <c r="C2" s="322"/>
      <c r="D2" s="322"/>
      <c r="E2" s="323"/>
      <c r="F2" s="322"/>
      <c r="G2" s="322"/>
      <c r="H2" s="121"/>
      <c r="I2" s="121"/>
      <c r="J2" s="121"/>
      <c r="K2" s="282"/>
      <c r="L2" s="121"/>
      <c r="M2" s="121"/>
      <c r="N2" s="121"/>
      <c r="O2" s="121"/>
      <c r="P2" s="122"/>
      <c r="Q2" s="124"/>
    </row>
    <row r="3" spans="1:17" ht="20.25" thickBot="1">
      <c r="A3" s="322"/>
      <c r="B3" s="323" t="s">
        <v>574</v>
      </c>
      <c r="C3" s="322"/>
      <c r="D3" s="322"/>
      <c r="E3" s="323"/>
      <c r="F3" s="322"/>
      <c r="G3" s="322"/>
      <c r="H3" s="121"/>
      <c r="I3" s="121"/>
      <c r="J3" s="121"/>
      <c r="K3" s="282"/>
      <c r="L3" s="121"/>
      <c r="M3" s="121"/>
      <c r="N3" s="121"/>
      <c r="O3" s="121"/>
      <c r="P3" s="122"/>
      <c r="Q3" s="124"/>
    </row>
    <row r="4" spans="1:17">
      <c r="A4" s="948" t="s">
        <v>575</v>
      </c>
      <c r="B4" s="957" t="s">
        <v>576</v>
      </c>
      <c r="C4" s="959" t="s">
        <v>577</v>
      </c>
      <c r="D4" s="959" t="s">
        <v>578</v>
      </c>
      <c r="E4" s="955" t="s">
        <v>579</v>
      </c>
      <c r="F4" s="961" t="s">
        <v>580</v>
      </c>
      <c r="G4" s="951"/>
      <c r="H4" s="952"/>
      <c r="I4" s="951" t="s">
        <v>581</v>
      </c>
      <c r="J4" s="951"/>
      <c r="K4" s="952"/>
      <c r="L4" s="953" t="s">
        <v>582</v>
      </c>
      <c r="M4" s="955" t="s">
        <v>583</v>
      </c>
      <c r="N4" s="946" t="s">
        <v>584</v>
      </c>
      <c r="O4" s="946" t="s">
        <v>585</v>
      </c>
      <c r="P4" s="946" t="s">
        <v>586</v>
      </c>
      <c r="Q4" s="941" t="s">
        <v>587</v>
      </c>
    </row>
    <row r="5" spans="1:17" ht="24">
      <c r="A5" s="949"/>
      <c r="B5" s="958"/>
      <c r="C5" s="960"/>
      <c r="D5" s="960"/>
      <c r="E5" s="956"/>
      <c r="F5" s="183" t="s">
        <v>588</v>
      </c>
      <c r="G5" s="183" t="s">
        <v>589</v>
      </c>
      <c r="H5" s="184" t="s">
        <v>590</v>
      </c>
      <c r="I5" s="183" t="s">
        <v>591</v>
      </c>
      <c r="J5" s="183" t="s">
        <v>592</v>
      </c>
      <c r="K5" s="184" t="s">
        <v>593</v>
      </c>
      <c r="L5" s="954"/>
      <c r="M5" s="956"/>
      <c r="N5" s="947"/>
      <c r="O5" s="947"/>
      <c r="P5" s="947"/>
      <c r="Q5" s="942"/>
    </row>
    <row r="6" spans="1:17" ht="360">
      <c r="A6" s="684">
        <v>1</v>
      </c>
      <c r="B6" s="774" t="s">
        <v>447</v>
      </c>
      <c r="C6" s="661" t="s">
        <v>613</v>
      </c>
      <c r="D6" s="772" t="s">
        <v>610</v>
      </c>
      <c r="E6" s="773">
        <v>4963</v>
      </c>
      <c r="F6" s="772" t="s">
        <v>611</v>
      </c>
      <c r="G6" s="772" t="s">
        <v>612</v>
      </c>
      <c r="H6" s="763">
        <f>IF(G6-F6+1&gt;=2*365,2*365,G6-F6+1)</f>
        <v>730</v>
      </c>
      <c r="I6" s="772" t="s">
        <v>611</v>
      </c>
      <c r="J6" s="772" t="s">
        <v>612</v>
      </c>
      <c r="K6" s="763">
        <f>IF(J6-I6+1&gt;=2*365,2*365,J6-I6+1)</f>
        <v>730</v>
      </c>
      <c r="L6" s="763" t="s">
        <v>614</v>
      </c>
      <c r="M6" s="663">
        <f>E6-N6</f>
        <v>2084</v>
      </c>
      <c r="N6" s="723">
        <f>502+1744+633</f>
        <v>2879</v>
      </c>
      <c r="O6" s="764">
        <f>N6/(배점기준!$G$9/1000)</f>
        <v>1.9119671611836797</v>
      </c>
      <c r="P6" s="689">
        <f>(IF(N6&lt;231,0,IF(O6&gt;=2.5,3,IF(O6&gt;=2,2,IF(O6&gt;=1.5,1.5,IF(O6&gt;=1,1,IF(O6&gt;=0.5,0.5,0.25)))))))*K6/H6</f>
        <v>1.5</v>
      </c>
      <c r="Q6" s="784"/>
    </row>
    <row r="7" spans="1:17" ht="50.1" customHeight="1">
      <c r="A7" s="943" t="s">
        <v>594</v>
      </c>
      <c r="B7" s="944"/>
      <c r="C7" s="944"/>
      <c r="D7" s="944"/>
      <c r="E7" s="944"/>
      <c r="F7" s="944"/>
      <c r="G7" s="944"/>
      <c r="H7" s="944"/>
      <c r="I7" s="944"/>
      <c r="J7" s="944"/>
      <c r="K7" s="944"/>
      <c r="L7" s="944"/>
      <c r="M7" s="944"/>
      <c r="N7" s="945"/>
      <c r="O7" s="328"/>
      <c r="P7" s="353">
        <f>SUM(P6:P6)</f>
        <v>1.5</v>
      </c>
      <c r="Q7" s="349"/>
    </row>
    <row r="8" spans="1:17" ht="50.1" customHeight="1" thickBot="1">
      <c r="A8" s="964" t="s">
        <v>595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965"/>
      <c r="M8" s="965"/>
      <c r="N8" s="966"/>
      <c r="O8" s="329"/>
      <c r="P8" s="352">
        <f>P7</f>
        <v>1.5</v>
      </c>
      <c r="Q8" s="350"/>
    </row>
  </sheetData>
  <mergeCells count="15">
    <mergeCell ref="Q4:Q5"/>
    <mergeCell ref="A7:N7"/>
    <mergeCell ref="A8:N8"/>
    <mergeCell ref="M4:M5"/>
    <mergeCell ref="N4:N5"/>
    <mergeCell ref="O4:O5"/>
    <mergeCell ref="P4:P5"/>
    <mergeCell ref="E4:E5"/>
    <mergeCell ref="F4:H4"/>
    <mergeCell ref="I4:K4"/>
    <mergeCell ref="L4:L5"/>
    <mergeCell ref="A4:A5"/>
    <mergeCell ref="B4:B5"/>
    <mergeCell ref="C4:C5"/>
    <mergeCell ref="D4:D5"/>
  </mergeCells>
  <phoneticPr fontId="2" type="noConversion"/>
  <pageMargins left="0.75" right="0.75" top="1" bottom="1" header="0.5" footer="0.5"/>
  <pageSetup paperSize="9" scale="4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Q14"/>
  <sheetViews>
    <sheetView view="pageBreakPreview" zoomScale="85" zoomScaleNormal="85" zoomScaleSheetLayoutView="85" workbookViewId="0">
      <selection activeCell="O12" sqref="O12"/>
    </sheetView>
  </sheetViews>
  <sheetFormatPr defaultRowHeight="13.5"/>
  <cols>
    <col min="1" max="1" width="3.77734375" customWidth="1"/>
    <col min="2" max="2" width="19.77734375" customWidth="1"/>
    <col min="3" max="3" width="36.77734375" customWidth="1"/>
    <col min="4" max="4" width="9.6640625" customWidth="1"/>
    <col min="5" max="5" width="9.5546875" bestFit="1" customWidth="1"/>
    <col min="6" max="7" width="11.5546875" bestFit="1" customWidth="1"/>
    <col min="8" max="16" width="9.6640625" customWidth="1"/>
  </cols>
  <sheetData>
    <row r="1" spans="1:17" ht="50.25" customHeight="1">
      <c r="A1" s="322"/>
      <c r="B1" s="659" t="s">
        <v>466</v>
      </c>
      <c r="C1" s="327" t="s">
        <v>818</v>
      </c>
      <c r="D1" s="322"/>
      <c r="E1" s="323"/>
      <c r="F1" s="322"/>
      <c r="G1" s="322"/>
      <c r="H1" s="121"/>
      <c r="I1" s="121"/>
      <c r="J1" s="121"/>
      <c r="K1" s="282"/>
      <c r="L1" s="121"/>
      <c r="M1" s="121"/>
      <c r="N1" s="121"/>
      <c r="O1" s="121"/>
      <c r="P1" s="122"/>
      <c r="Q1" s="124"/>
    </row>
    <row r="3" spans="1:17" ht="20.25" thickBot="1">
      <c r="A3" s="322"/>
      <c r="B3" s="323" t="s">
        <v>798</v>
      </c>
      <c r="C3" s="322"/>
      <c r="D3" s="322"/>
      <c r="E3" s="323"/>
      <c r="F3" s="322"/>
      <c r="G3" s="322"/>
      <c r="H3" s="121"/>
      <c r="I3" s="121"/>
      <c r="J3" s="121"/>
      <c r="K3" s="282"/>
      <c r="L3" s="121"/>
      <c r="M3" s="121"/>
      <c r="N3" s="121"/>
      <c r="O3" s="121"/>
      <c r="P3" s="122"/>
      <c r="Q3" s="124"/>
    </row>
    <row r="4" spans="1:17">
      <c r="A4" s="983" t="s">
        <v>34</v>
      </c>
      <c r="B4" s="959" t="s">
        <v>35</v>
      </c>
      <c r="C4" s="959" t="s">
        <v>36</v>
      </c>
      <c r="D4" s="959" t="s">
        <v>37</v>
      </c>
      <c r="E4" s="959" t="s">
        <v>799</v>
      </c>
      <c r="F4" s="976" t="s">
        <v>38</v>
      </c>
      <c r="G4" s="977"/>
      <c r="H4" s="946" t="s">
        <v>800</v>
      </c>
      <c r="I4" s="946" t="s">
        <v>801</v>
      </c>
      <c r="J4" s="941" t="s">
        <v>39</v>
      </c>
      <c r="K4" s="182"/>
      <c r="L4" s="182"/>
      <c r="M4" s="182"/>
      <c r="N4" s="182"/>
      <c r="O4" s="182"/>
      <c r="P4" s="182"/>
      <c r="Q4" s="126"/>
    </row>
    <row r="5" spans="1:17">
      <c r="A5" s="984"/>
      <c r="B5" s="960"/>
      <c r="C5" s="960"/>
      <c r="D5" s="960"/>
      <c r="E5" s="960"/>
      <c r="F5" s="183" t="s">
        <v>802</v>
      </c>
      <c r="G5" s="183" t="s">
        <v>803</v>
      </c>
      <c r="H5" s="947"/>
      <c r="I5" s="947"/>
      <c r="J5" s="942"/>
      <c r="K5" s="182"/>
      <c r="L5" s="182"/>
      <c r="M5" s="182"/>
      <c r="N5" s="182"/>
      <c r="O5" s="182"/>
      <c r="P5" s="182"/>
      <c r="Q5" s="126"/>
    </row>
    <row r="6" spans="1:17" ht="111.75" customHeight="1">
      <c r="A6" s="671">
        <v>1</v>
      </c>
      <c r="B6" s="661" t="s">
        <v>804</v>
      </c>
      <c r="C6" s="661" t="s">
        <v>805</v>
      </c>
      <c r="D6" s="662" t="s">
        <v>490</v>
      </c>
      <c r="E6" s="662">
        <v>213</v>
      </c>
      <c r="F6" s="664">
        <v>37386</v>
      </c>
      <c r="G6" s="664">
        <v>39447</v>
      </c>
      <c r="H6" s="669">
        <f>IF(E6&gt;=330,3,IF(E6&gt;=165,2,IF(E6&gt;=65,1,IF(E6&gt;=20,0.5,0.1))))</f>
        <v>2</v>
      </c>
      <c r="I6" s="669">
        <v>0</v>
      </c>
      <c r="J6" s="761"/>
      <c r="K6" s="188"/>
      <c r="L6" s="188"/>
      <c r="M6" s="188"/>
      <c r="N6" s="188"/>
      <c r="O6" s="188"/>
      <c r="P6" s="188"/>
      <c r="Q6" s="189"/>
    </row>
    <row r="7" spans="1:17" ht="33" customHeight="1" thickBot="1">
      <c r="A7" s="978" t="s">
        <v>448</v>
      </c>
      <c r="B7" s="979"/>
      <c r="C7" s="979"/>
      <c r="D7" s="979"/>
      <c r="E7" s="979"/>
      <c r="F7" s="979"/>
      <c r="G7" s="980"/>
      <c r="H7" s="981">
        <f>SUM(H6:H6)+SUM(I6:I6)</f>
        <v>2</v>
      </c>
      <c r="I7" s="982"/>
      <c r="J7" s="762"/>
      <c r="K7" s="188"/>
      <c r="L7" s="188"/>
      <c r="M7" s="188"/>
      <c r="N7" s="188"/>
      <c r="O7" s="188"/>
      <c r="P7" s="189"/>
      <c r="Q7" s="189"/>
    </row>
    <row r="8" spans="1:17" ht="19.5">
      <c r="A8" s="322"/>
      <c r="B8" s="323"/>
      <c r="C8" s="322"/>
      <c r="D8" s="322"/>
      <c r="E8" s="323"/>
      <c r="F8" s="322"/>
      <c r="G8" s="322"/>
      <c r="H8" s="121"/>
      <c r="I8" s="121"/>
      <c r="J8" s="121"/>
      <c r="K8" s="282"/>
      <c r="L8" s="121"/>
      <c r="M8" s="121"/>
      <c r="N8" s="121"/>
      <c r="O8" s="121"/>
      <c r="P8" s="122"/>
      <c r="Q8" s="124"/>
    </row>
    <row r="9" spans="1:17" ht="20.25" thickBot="1">
      <c r="A9" s="322"/>
      <c r="B9" s="323" t="s">
        <v>449</v>
      </c>
      <c r="C9" s="322"/>
      <c r="D9" s="322"/>
      <c r="E9" s="323"/>
      <c r="F9" s="322"/>
      <c r="G9" s="322"/>
      <c r="H9" s="121"/>
      <c r="I9" s="121"/>
      <c r="J9" s="121"/>
      <c r="K9" s="282"/>
      <c r="L9" s="121"/>
      <c r="M9" s="121"/>
      <c r="N9" s="121"/>
      <c r="O9" s="121"/>
      <c r="P9" s="122"/>
      <c r="Q9" s="124"/>
    </row>
    <row r="10" spans="1:17" ht="30" customHeight="1">
      <c r="A10" s="948" t="s">
        <v>450</v>
      </c>
      <c r="B10" s="957" t="s">
        <v>451</v>
      </c>
      <c r="C10" s="959" t="s">
        <v>452</v>
      </c>
      <c r="D10" s="959" t="s">
        <v>453</v>
      </c>
      <c r="E10" s="955" t="s">
        <v>454</v>
      </c>
      <c r="F10" s="961" t="s">
        <v>455</v>
      </c>
      <c r="G10" s="951"/>
      <c r="H10" s="952"/>
      <c r="I10" s="951" t="s">
        <v>456</v>
      </c>
      <c r="J10" s="951"/>
      <c r="K10" s="952"/>
      <c r="L10" s="953" t="s">
        <v>45</v>
      </c>
      <c r="M10" s="955" t="s">
        <v>46</v>
      </c>
      <c r="N10" s="946" t="s">
        <v>47</v>
      </c>
      <c r="O10" s="946" t="s">
        <v>48</v>
      </c>
      <c r="P10" s="946" t="s">
        <v>49</v>
      </c>
      <c r="Q10" s="941" t="s">
        <v>39</v>
      </c>
    </row>
    <row r="11" spans="1:17" ht="30" customHeight="1">
      <c r="A11" s="949"/>
      <c r="B11" s="958"/>
      <c r="C11" s="960"/>
      <c r="D11" s="960"/>
      <c r="E11" s="956"/>
      <c r="F11" s="183" t="s">
        <v>50</v>
      </c>
      <c r="G11" s="183" t="s">
        <v>51</v>
      </c>
      <c r="H11" s="184" t="s">
        <v>52</v>
      </c>
      <c r="I11" s="183" t="s">
        <v>53</v>
      </c>
      <c r="J11" s="183" t="s">
        <v>54</v>
      </c>
      <c r="K11" s="184" t="s">
        <v>55</v>
      </c>
      <c r="L11" s="954"/>
      <c r="M11" s="956"/>
      <c r="N11" s="947"/>
      <c r="O11" s="947"/>
      <c r="P11" s="947"/>
      <c r="Q11" s="942"/>
    </row>
    <row r="12" spans="1:17" ht="30" customHeight="1">
      <c r="A12" s="671"/>
      <c r="B12" s="774" t="s">
        <v>447</v>
      </c>
      <c r="C12" s="661" t="s">
        <v>613</v>
      </c>
      <c r="D12" s="772" t="s">
        <v>610</v>
      </c>
      <c r="E12" s="773">
        <v>4963</v>
      </c>
      <c r="F12" s="772" t="s">
        <v>611</v>
      </c>
      <c r="G12" s="772" t="s">
        <v>612</v>
      </c>
      <c r="H12" s="763">
        <f>IF(G12-F12+1&gt;=2*365,2*365,G12-F12+1)</f>
        <v>730</v>
      </c>
      <c r="I12" s="772" t="s">
        <v>611</v>
      </c>
      <c r="J12" s="772" t="s">
        <v>612</v>
      </c>
      <c r="K12" s="763">
        <f>IF(J12-I12+1&gt;=2*365,2*365,J12-I12+1)</f>
        <v>730</v>
      </c>
      <c r="L12" s="763" t="s">
        <v>614</v>
      </c>
      <c r="M12" s="663">
        <f>E12-N12</f>
        <v>4663</v>
      </c>
      <c r="N12" s="668">
        <v>300</v>
      </c>
      <c r="O12" s="764">
        <f>N12/(배점기준!$G$9/1000)</f>
        <v>0.19923242388159218</v>
      </c>
      <c r="P12" s="669">
        <f>(IF(N12&lt;231,0,IF(O12&gt;=2.5,3,IF(O12&gt;=2,2,IF(O12&gt;=1.5,1.5,IF(O12&gt;=1,1,IF(O12&gt;=0.5,0.5,0.25)))))))*K12/H12</f>
        <v>0.25</v>
      </c>
      <c r="Q12" s="765"/>
    </row>
    <row r="13" spans="1:17" ht="30" customHeight="1">
      <c r="A13" s="973">
        <v>0</v>
      </c>
      <c r="B13" s="974"/>
      <c r="C13" s="974"/>
      <c r="D13" s="974"/>
      <c r="E13" s="974"/>
      <c r="F13" s="974"/>
      <c r="G13" s="974"/>
      <c r="H13" s="974"/>
      <c r="I13" s="974"/>
      <c r="J13" s="974"/>
      <c r="K13" s="974"/>
      <c r="L13" s="974"/>
      <c r="M13" s="974"/>
      <c r="N13" s="975"/>
      <c r="O13" s="766"/>
      <c r="P13" s="767">
        <f>SUM(P12:P12)</f>
        <v>0.25</v>
      </c>
      <c r="Q13" s="349"/>
    </row>
    <row r="14" spans="1:17" ht="30" customHeight="1" thickBot="1">
      <c r="A14" s="964" t="s">
        <v>56</v>
      </c>
      <c r="B14" s="965"/>
      <c r="C14" s="965"/>
      <c r="D14" s="965"/>
      <c r="E14" s="965"/>
      <c r="F14" s="965"/>
      <c r="G14" s="965"/>
      <c r="H14" s="965"/>
      <c r="I14" s="965"/>
      <c r="J14" s="965"/>
      <c r="K14" s="965"/>
      <c r="L14" s="965"/>
      <c r="M14" s="965"/>
      <c r="N14" s="966"/>
      <c r="O14" s="329"/>
      <c r="P14" s="352">
        <f>H7</f>
        <v>2</v>
      </c>
      <c r="Q14" s="350"/>
    </row>
  </sheetData>
  <mergeCells count="26">
    <mergeCell ref="P10:P11"/>
    <mergeCell ref="Q10:Q11"/>
    <mergeCell ref="I4:I5"/>
    <mergeCell ref="J4:J5"/>
    <mergeCell ref="A13:N13"/>
    <mergeCell ref="O10:O11"/>
    <mergeCell ref="A10:A11"/>
    <mergeCell ref="B10:B11"/>
    <mergeCell ref="C10:C11"/>
    <mergeCell ref="F10:H10"/>
    <mergeCell ref="E4:E5"/>
    <mergeCell ref="F4:G4"/>
    <mergeCell ref="A7:G7"/>
    <mergeCell ref="H7:I7"/>
    <mergeCell ref="A4:A5"/>
    <mergeCell ref="B4:B5"/>
    <mergeCell ref="C4:C5"/>
    <mergeCell ref="D4:D5"/>
    <mergeCell ref="H4:H5"/>
    <mergeCell ref="A14:N14"/>
    <mergeCell ref="L10:L11"/>
    <mergeCell ref="M10:M11"/>
    <mergeCell ref="N10:N11"/>
    <mergeCell ref="D10:D11"/>
    <mergeCell ref="E10:E11"/>
    <mergeCell ref="I10:K10"/>
  </mergeCells>
  <phoneticPr fontId="2" type="noConversion"/>
  <pageMargins left="0.75" right="0.75" top="1" bottom="1" header="0.5" footer="0.5"/>
  <pageSetup paperSize="9" scale="56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Q9"/>
  <sheetViews>
    <sheetView zoomScale="85" workbookViewId="0">
      <selection activeCell="P8" sqref="P8"/>
    </sheetView>
  </sheetViews>
  <sheetFormatPr defaultRowHeight="13.5"/>
  <cols>
    <col min="1" max="1" width="5.88671875" customWidth="1"/>
    <col min="2" max="2" width="19.77734375" customWidth="1"/>
    <col min="3" max="3" width="28.88671875" customWidth="1"/>
    <col min="6" max="16" width="9.6640625" customWidth="1"/>
    <col min="17" max="17" width="5.33203125" customWidth="1"/>
  </cols>
  <sheetData>
    <row r="1" spans="1:17" ht="50.25" customHeight="1">
      <c r="A1" s="322"/>
      <c r="B1" s="659" t="s">
        <v>556</v>
      </c>
      <c r="C1" s="327" t="s">
        <v>819</v>
      </c>
      <c r="D1" s="322"/>
      <c r="E1" s="323"/>
      <c r="F1" s="322"/>
      <c r="G1" s="322"/>
      <c r="H1" s="121"/>
      <c r="I1" s="121"/>
      <c r="J1" s="121"/>
      <c r="K1" s="282"/>
      <c r="L1" s="121"/>
      <c r="M1" s="121"/>
      <c r="N1" s="121"/>
      <c r="O1" s="121"/>
      <c r="P1" s="122"/>
      <c r="Q1" s="124"/>
    </row>
    <row r="2" spans="1:17" ht="19.5">
      <c r="A2" s="322"/>
      <c r="B2" s="323"/>
      <c r="C2" s="322"/>
      <c r="D2" s="322"/>
      <c r="E2" s="323"/>
      <c r="F2" s="322"/>
      <c r="G2" s="322"/>
      <c r="H2" s="121"/>
      <c r="I2" s="121"/>
      <c r="J2" s="121"/>
      <c r="K2" s="282"/>
      <c r="L2" s="121"/>
      <c r="M2" s="121"/>
      <c r="N2" s="121"/>
      <c r="O2" s="121"/>
      <c r="P2" s="122"/>
      <c r="Q2" s="124"/>
    </row>
    <row r="3" spans="1:17" ht="20.25" thickBot="1">
      <c r="A3" s="322"/>
      <c r="B3" s="323" t="s">
        <v>41</v>
      </c>
      <c r="C3" s="322"/>
      <c r="D3" s="322"/>
      <c r="E3" s="323"/>
      <c r="F3" s="322"/>
      <c r="G3" s="322"/>
      <c r="H3" s="121"/>
      <c r="I3" s="121"/>
      <c r="J3" s="121"/>
      <c r="K3" s="282"/>
      <c r="L3" s="121"/>
      <c r="M3" s="121"/>
      <c r="N3" s="121"/>
      <c r="O3" s="121"/>
      <c r="P3" s="122"/>
      <c r="Q3" s="124"/>
    </row>
    <row r="4" spans="1:17">
      <c r="A4" s="948" t="s">
        <v>34</v>
      </c>
      <c r="B4" s="957" t="s">
        <v>35</v>
      </c>
      <c r="C4" s="957" t="s">
        <v>36</v>
      </c>
      <c r="D4" s="957" t="s">
        <v>37</v>
      </c>
      <c r="E4" s="987" t="s">
        <v>557</v>
      </c>
      <c r="F4" s="991" t="s">
        <v>558</v>
      </c>
      <c r="G4" s="991"/>
      <c r="H4" s="991"/>
      <c r="I4" s="991" t="s">
        <v>559</v>
      </c>
      <c r="J4" s="991"/>
      <c r="K4" s="991"/>
      <c r="L4" s="991" t="s">
        <v>560</v>
      </c>
      <c r="M4" s="987" t="s">
        <v>561</v>
      </c>
      <c r="N4" s="989" t="s">
        <v>562</v>
      </c>
      <c r="O4" s="989" t="s">
        <v>563</v>
      </c>
      <c r="P4" s="989" t="s">
        <v>564</v>
      </c>
      <c r="Q4" s="941" t="s">
        <v>39</v>
      </c>
    </row>
    <row r="5" spans="1:17" ht="24">
      <c r="A5" s="949"/>
      <c r="B5" s="958"/>
      <c r="C5" s="958"/>
      <c r="D5" s="958"/>
      <c r="E5" s="988"/>
      <c r="F5" s="183" t="s">
        <v>50</v>
      </c>
      <c r="G5" s="183" t="s">
        <v>51</v>
      </c>
      <c r="H5" s="184" t="s">
        <v>52</v>
      </c>
      <c r="I5" s="183" t="s">
        <v>53</v>
      </c>
      <c r="J5" s="183" t="s">
        <v>54</v>
      </c>
      <c r="K5" s="184" t="s">
        <v>55</v>
      </c>
      <c r="L5" s="992"/>
      <c r="M5" s="988"/>
      <c r="N5" s="990"/>
      <c r="O5" s="990"/>
      <c r="P5" s="990"/>
      <c r="Q5" s="942"/>
    </row>
    <row r="6" spans="1:17" ht="50.1" customHeight="1">
      <c r="A6" s="718">
        <v>1</v>
      </c>
      <c r="B6" s="685" t="s">
        <v>565</v>
      </c>
      <c r="C6" s="685" t="s">
        <v>566</v>
      </c>
      <c r="D6" s="685" t="s">
        <v>567</v>
      </c>
      <c r="E6" s="719">
        <v>3283</v>
      </c>
      <c r="F6" s="720">
        <v>37993</v>
      </c>
      <c r="G6" s="720">
        <v>39527</v>
      </c>
      <c r="H6" s="721">
        <f>IF(G6-F6+1&gt;=2*365,2*365,G6-F6+1)</f>
        <v>730</v>
      </c>
      <c r="I6" s="720">
        <v>37993</v>
      </c>
      <c r="J6" s="720">
        <v>39527</v>
      </c>
      <c r="K6" s="721">
        <f>IF(J6-I6+1&gt;=2*365,2*365,J6-I6+1)</f>
        <v>730</v>
      </c>
      <c r="L6" s="721" t="s">
        <v>568</v>
      </c>
      <c r="M6" s="719">
        <v>1488</v>
      </c>
      <c r="N6" s="722">
        <f>E6-M6</f>
        <v>1795</v>
      </c>
      <c r="O6" s="764">
        <f>N6/(배점기준!$G$9/1000)</f>
        <v>1.1920740028915267</v>
      </c>
      <c r="P6" s="689">
        <f>(IF(N6&lt;231,0,IF(O6&gt;=2.5,3,IF(O6&gt;=2,2,IF(O6&gt;=1.5,1.5,IF(O6&gt;=1,1,IF(O6&gt;=0.5,0.5,0.25)))))))*K6/H6</f>
        <v>1</v>
      </c>
      <c r="Q6" s="985"/>
    </row>
    <row r="7" spans="1:17" ht="50.1" customHeight="1">
      <c r="A7" s="718">
        <v>2</v>
      </c>
      <c r="B7" s="685" t="s">
        <v>569</v>
      </c>
      <c r="C7" s="685" t="s">
        <v>570</v>
      </c>
      <c r="D7" s="685" t="s">
        <v>571</v>
      </c>
      <c r="E7" s="719">
        <v>2681</v>
      </c>
      <c r="F7" s="720">
        <v>38280</v>
      </c>
      <c r="G7" s="720">
        <v>40367</v>
      </c>
      <c r="H7" s="721">
        <f>IF(G7-F7+1&gt;=2*365,2*365,G7-F7+1)</f>
        <v>730</v>
      </c>
      <c r="I7" s="720">
        <v>38280</v>
      </c>
      <c r="J7" s="720">
        <v>40367</v>
      </c>
      <c r="K7" s="721">
        <f>IF(J7-I7+1&gt;=2*365,2*365,J7-I7+1)</f>
        <v>730</v>
      </c>
      <c r="L7" s="721" t="s">
        <v>568</v>
      </c>
      <c r="M7" s="719">
        <v>0</v>
      </c>
      <c r="N7" s="722">
        <f>E7-M7</f>
        <v>2681</v>
      </c>
      <c r="O7" s="764">
        <f>N7/(배점기준!$G$9/1000)</f>
        <v>1.7804737614218289</v>
      </c>
      <c r="P7" s="689">
        <f>(IF(N7&lt;231,0,IF(O7&gt;=2.5,3,IF(O7&gt;=2,2,IF(O7&gt;=1.5,1.5,IF(O7&gt;=1,1,IF(O7&gt;=0.5,0.5,0.25)))))))*K7/H7</f>
        <v>1.5</v>
      </c>
      <c r="Q7" s="986"/>
    </row>
    <row r="8" spans="1:17">
      <c r="A8" s="969" t="s">
        <v>572</v>
      </c>
      <c r="B8" s="970"/>
      <c r="C8" s="970"/>
      <c r="D8" s="970"/>
      <c r="E8" s="970"/>
      <c r="F8" s="970"/>
      <c r="G8" s="970"/>
      <c r="H8" s="970"/>
      <c r="I8" s="970"/>
      <c r="J8" s="970"/>
      <c r="K8" s="970"/>
      <c r="L8" s="970"/>
      <c r="M8" s="970"/>
      <c r="N8" s="970"/>
      <c r="O8" s="653"/>
      <c r="P8" s="353">
        <f>SUM(P6:P7)</f>
        <v>2.5</v>
      </c>
      <c r="Q8" s="349"/>
    </row>
    <row r="9" spans="1:17" ht="14.25" thickBot="1">
      <c r="A9" s="971" t="s">
        <v>573</v>
      </c>
      <c r="B9" s="972"/>
      <c r="C9" s="972"/>
      <c r="D9" s="972"/>
      <c r="E9" s="972"/>
      <c r="F9" s="972"/>
      <c r="G9" s="972"/>
      <c r="H9" s="972"/>
      <c r="I9" s="972"/>
      <c r="J9" s="972"/>
      <c r="K9" s="972"/>
      <c r="L9" s="972"/>
      <c r="M9" s="972"/>
      <c r="N9" s="972"/>
      <c r="O9" s="654"/>
      <c r="P9" s="352">
        <f>P8</f>
        <v>2.5</v>
      </c>
      <c r="Q9" s="350"/>
    </row>
  </sheetData>
  <mergeCells count="16">
    <mergeCell ref="Q4:Q5"/>
    <mergeCell ref="Q6:Q7"/>
    <mergeCell ref="A8:N8"/>
    <mergeCell ref="A9:N9"/>
    <mergeCell ref="M4:M5"/>
    <mergeCell ref="N4:N5"/>
    <mergeCell ref="O4:O5"/>
    <mergeCell ref="P4:P5"/>
    <mergeCell ref="E4:E5"/>
    <mergeCell ref="F4:H4"/>
    <mergeCell ref="I4:K4"/>
    <mergeCell ref="L4:L5"/>
    <mergeCell ref="A4:A5"/>
    <mergeCell ref="B4:B5"/>
    <mergeCell ref="C4:C5"/>
    <mergeCell ref="D4:D5"/>
  </mergeCells>
  <phoneticPr fontId="2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indexed="43"/>
    <pageSetUpPr fitToPage="1"/>
  </sheetPr>
  <dimension ref="A1:S128"/>
  <sheetViews>
    <sheetView zoomScale="85" zoomScaleNormal="115" zoomScaleSheetLayoutView="85" workbookViewId="0">
      <pane xSplit="3" topLeftCell="D1" activePane="topRight" state="frozen"/>
      <selection activeCell="J9" sqref="J9"/>
      <selection pane="topRight" activeCell="M18" sqref="M18"/>
    </sheetView>
  </sheetViews>
  <sheetFormatPr defaultRowHeight="12" customHeight="1"/>
  <cols>
    <col min="1" max="1" width="3.77734375" style="137" customWidth="1"/>
    <col min="2" max="2" width="26.5546875" style="133" customWidth="1"/>
    <col min="3" max="3" width="26.77734375" style="133" customWidth="1"/>
    <col min="4" max="4" width="12" style="133" customWidth="1"/>
    <col min="5" max="5" width="9.6640625" style="133" bestFit="1" customWidth="1"/>
    <col min="6" max="7" width="10.33203125" style="133" bestFit="1" customWidth="1"/>
    <col min="8" max="8" width="9.6640625" style="134" bestFit="1" customWidth="1"/>
    <col min="9" max="9" width="10.33203125" style="141" bestFit="1" customWidth="1"/>
    <col min="10" max="10" width="10.109375" style="141" bestFit="1" customWidth="1"/>
    <col min="11" max="11" width="9.5546875" style="164" customWidth="1"/>
    <col min="12" max="12" width="8.44140625" style="136" bestFit="1" customWidth="1"/>
    <col min="13" max="13" width="8.44140625" style="136" customWidth="1"/>
    <col min="14" max="14" width="7.88671875" style="136" customWidth="1"/>
    <col min="15" max="15" width="6.33203125" style="136" customWidth="1"/>
    <col min="16" max="16" width="5.77734375" style="131" customWidth="1"/>
    <col min="17" max="17" width="5.33203125" style="128" customWidth="1"/>
    <col min="18" max="16384" width="8.88671875" style="128"/>
  </cols>
  <sheetData>
    <row r="1" spans="1:19" s="125" customFormat="1" ht="50.25" customHeight="1">
      <c r="A1" s="322"/>
      <c r="B1" s="613" t="s">
        <v>755</v>
      </c>
      <c r="C1" s="327" t="s">
        <v>820</v>
      </c>
      <c r="D1" s="322"/>
      <c r="E1" s="323"/>
      <c r="F1" s="322"/>
      <c r="G1" s="322"/>
      <c r="H1" s="121"/>
      <c r="I1" s="121"/>
      <c r="J1" s="121"/>
      <c r="K1" s="282"/>
      <c r="L1" s="121"/>
      <c r="M1" s="121"/>
      <c r="N1" s="121"/>
      <c r="O1" s="121"/>
      <c r="P1" s="122"/>
      <c r="Q1" s="124"/>
    </row>
    <row r="2" spans="1:19" s="189" customFormat="1" ht="10.5" customHeight="1">
      <c r="A2" s="587"/>
      <c r="B2" s="587"/>
      <c r="C2" s="587"/>
      <c r="D2" s="587"/>
      <c r="E2" s="587"/>
      <c r="F2" s="587"/>
      <c r="G2" s="587"/>
      <c r="H2" s="587"/>
      <c r="I2" s="587"/>
      <c r="J2" s="188"/>
      <c r="K2" s="188"/>
      <c r="L2" s="188"/>
      <c r="M2" s="188"/>
      <c r="N2" s="188"/>
      <c r="O2" s="188"/>
    </row>
    <row r="3" spans="1:19" s="124" customFormat="1" ht="33.75" customHeight="1" thickBot="1">
      <c r="A3" s="322"/>
      <c r="B3" s="323" t="s">
        <v>41</v>
      </c>
      <c r="C3" s="322"/>
      <c r="D3" s="322"/>
      <c r="E3" s="323"/>
      <c r="F3" s="322"/>
      <c r="G3" s="322"/>
      <c r="H3" s="121"/>
      <c r="I3" s="121"/>
      <c r="J3" s="121"/>
      <c r="K3" s="282"/>
      <c r="L3" s="121"/>
      <c r="M3" s="121"/>
      <c r="N3" s="121"/>
      <c r="O3" s="121"/>
      <c r="P3" s="122"/>
    </row>
    <row r="4" spans="1:19" s="126" customFormat="1" ht="33" customHeight="1">
      <c r="A4" s="948" t="s">
        <v>34</v>
      </c>
      <c r="B4" s="957" t="s">
        <v>35</v>
      </c>
      <c r="C4" s="959" t="s">
        <v>36</v>
      </c>
      <c r="D4" s="959" t="s">
        <v>37</v>
      </c>
      <c r="E4" s="955" t="s">
        <v>42</v>
      </c>
      <c r="F4" s="961" t="s">
        <v>43</v>
      </c>
      <c r="G4" s="951"/>
      <c r="H4" s="952"/>
      <c r="I4" s="951" t="s">
        <v>44</v>
      </c>
      <c r="J4" s="951"/>
      <c r="K4" s="952"/>
      <c r="L4" s="953" t="s">
        <v>45</v>
      </c>
      <c r="M4" s="955" t="s">
        <v>46</v>
      </c>
      <c r="N4" s="946" t="s">
        <v>47</v>
      </c>
      <c r="O4" s="946" t="s">
        <v>48</v>
      </c>
      <c r="P4" s="946" t="s">
        <v>49</v>
      </c>
      <c r="Q4" s="941" t="s">
        <v>39</v>
      </c>
    </row>
    <row r="5" spans="1:19" s="126" customFormat="1" ht="33" customHeight="1">
      <c r="A5" s="949"/>
      <c r="B5" s="958"/>
      <c r="C5" s="960"/>
      <c r="D5" s="960"/>
      <c r="E5" s="956"/>
      <c r="F5" s="183" t="s">
        <v>50</v>
      </c>
      <c r="G5" s="183" t="s">
        <v>51</v>
      </c>
      <c r="H5" s="184" t="s">
        <v>52</v>
      </c>
      <c r="I5" s="183" t="s">
        <v>53</v>
      </c>
      <c r="J5" s="183" t="s">
        <v>54</v>
      </c>
      <c r="K5" s="184" t="s">
        <v>55</v>
      </c>
      <c r="L5" s="954"/>
      <c r="M5" s="956"/>
      <c r="N5" s="947"/>
      <c r="O5" s="947"/>
      <c r="P5" s="947"/>
      <c r="Q5" s="942"/>
      <c r="S5" s="575"/>
    </row>
    <row r="6" spans="1:19" s="189" customFormat="1" ht="45" customHeight="1">
      <c r="A6" s="191">
        <v>1</v>
      </c>
      <c r="B6" s="192" t="s">
        <v>499</v>
      </c>
      <c r="C6" s="524" t="s">
        <v>492</v>
      </c>
      <c r="D6" s="201" t="s">
        <v>493</v>
      </c>
      <c r="E6" s="193">
        <v>576</v>
      </c>
      <c r="F6" s="525">
        <v>39126</v>
      </c>
      <c r="G6" s="525">
        <v>40063</v>
      </c>
      <c r="H6" s="649">
        <f>IF(G6-F6+1&gt;=2*365,2*365,G6-F6+1)</f>
        <v>730</v>
      </c>
      <c r="I6" s="525">
        <v>39402</v>
      </c>
      <c r="J6" s="525">
        <v>40063</v>
      </c>
      <c r="K6" s="649">
        <f>IF(J6-I6+1&gt;=2*365,2*365,J6-I6+1)</f>
        <v>662</v>
      </c>
      <c r="L6" s="650" t="s">
        <v>491</v>
      </c>
      <c r="M6" s="193">
        <f>62+50+62+37</f>
        <v>211</v>
      </c>
      <c r="N6" s="672">
        <f>E6-M6</f>
        <v>365</v>
      </c>
      <c r="O6" s="673">
        <f>N6/(배점기준!$G$9/1000)</f>
        <v>0.24239944905593716</v>
      </c>
      <c r="P6" s="674">
        <f>(IF(N6&lt;231,0,IF(O6&gt;=2.5,3,IF(O6&gt;=2,2,IF(O6&gt;=1.5,1.5,IF(O6&gt;=1,1,IF(O6&gt;=0.5,0.5,0.25)))))))*K6/H6</f>
        <v>0.2267123287671233</v>
      </c>
      <c r="Q6" s="985"/>
      <c r="S6" s="575"/>
    </row>
    <row r="7" spans="1:19" s="189" customFormat="1" ht="45" customHeight="1">
      <c r="A7" s="191">
        <v>2</v>
      </c>
      <c r="B7" s="192" t="s">
        <v>500</v>
      </c>
      <c r="C7" s="524" t="s">
        <v>497</v>
      </c>
      <c r="D7" s="530" t="s">
        <v>502</v>
      </c>
      <c r="E7" s="193">
        <v>1721</v>
      </c>
      <c r="F7" s="525">
        <v>39896</v>
      </c>
      <c r="G7" s="525">
        <v>40205</v>
      </c>
      <c r="H7" s="649">
        <f>IF(G7-F7+1&gt;=2*365,2*365,G7-F7+1)</f>
        <v>310</v>
      </c>
      <c r="I7" s="525">
        <v>39896</v>
      </c>
      <c r="J7" s="525">
        <v>40205</v>
      </c>
      <c r="K7" s="649">
        <f>IF(J7-I7+1&gt;=2*365,2*365,J7-I7+1)</f>
        <v>310</v>
      </c>
      <c r="L7" s="650" t="s">
        <v>491</v>
      </c>
      <c r="M7" s="193">
        <f>145+125</f>
        <v>270</v>
      </c>
      <c r="N7" s="672">
        <f>E7-M7</f>
        <v>1451</v>
      </c>
      <c r="O7" s="673">
        <f>N7/(배점기준!$G$9/1000)</f>
        <v>0.96362082350730083</v>
      </c>
      <c r="P7" s="674">
        <f t="shared" ref="P7:P10" si="0">(IF(N7&lt;231,0,IF(O7&gt;=2.5,3,IF(O7&gt;=2,2,IF(O7&gt;=1.5,1.5,IF(O7&gt;=1,1,IF(O7&gt;=0.5,0.5,0.25)))))))*K7/H7</f>
        <v>0.5</v>
      </c>
      <c r="Q7" s="986"/>
      <c r="S7" s="575"/>
    </row>
    <row r="8" spans="1:19" s="189" customFormat="1" ht="45" customHeight="1">
      <c r="A8" s="191">
        <v>3</v>
      </c>
      <c r="B8" s="529" t="s">
        <v>494</v>
      </c>
      <c r="C8" s="524" t="s">
        <v>492</v>
      </c>
      <c r="D8" s="530" t="s">
        <v>495</v>
      </c>
      <c r="E8" s="193">
        <v>587</v>
      </c>
      <c r="F8" s="525">
        <v>39867</v>
      </c>
      <c r="G8" s="525">
        <v>40287</v>
      </c>
      <c r="H8" s="649">
        <f>IF(G8-F8+1&gt;=2*365,2*365,G8-F8+1)</f>
        <v>421</v>
      </c>
      <c r="I8" s="525">
        <v>39867</v>
      </c>
      <c r="J8" s="525">
        <v>40287</v>
      </c>
      <c r="K8" s="649">
        <f>IF(J8-I8+1&gt;=2*365,2*365,J8-I8+1)</f>
        <v>421</v>
      </c>
      <c r="L8" s="650" t="s">
        <v>491</v>
      </c>
      <c r="M8" s="193">
        <v>17</v>
      </c>
      <c r="N8" s="672">
        <f>E8-M8</f>
        <v>570</v>
      </c>
      <c r="O8" s="673">
        <f>N8/(배점기준!$G$9/1000)</f>
        <v>0.37854160537502518</v>
      </c>
      <c r="P8" s="674">
        <f t="shared" si="0"/>
        <v>0.25</v>
      </c>
      <c r="Q8" s="986"/>
      <c r="S8" s="575"/>
    </row>
    <row r="9" spans="1:19" s="189" customFormat="1" ht="45" customHeight="1">
      <c r="A9" s="191">
        <v>4</v>
      </c>
      <c r="B9" s="192" t="s">
        <v>501</v>
      </c>
      <c r="C9" s="524" t="s">
        <v>430</v>
      </c>
      <c r="D9" s="201" t="s">
        <v>677</v>
      </c>
      <c r="E9" s="193">
        <v>5453</v>
      </c>
      <c r="F9" s="525">
        <v>38530</v>
      </c>
      <c r="G9" s="525">
        <v>40298</v>
      </c>
      <c r="H9" s="649">
        <f>IF(G9-F9+1&gt;=2*365,2*365,G9-F9+1)</f>
        <v>730</v>
      </c>
      <c r="I9" s="525">
        <v>39402</v>
      </c>
      <c r="J9" s="525">
        <v>40298</v>
      </c>
      <c r="K9" s="649">
        <f>IF(J9-I9+1&gt;=2*365,2*365,J9-I9+1)</f>
        <v>730</v>
      </c>
      <c r="L9" s="650" t="s">
        <v>491</v>
      </c>
      <c r="M9" s="193">
        <f>482+260+146+129</f>
        <v>1017</v>
      </c>
      <c r="N9" s="672">
        <f>E9-M9</f>
        <v>4436</v>
      </c>
      <c r="O9" s="673">
        <f>N9/(배점기준!$G$9/1000)</f>
        <v>2.945983441129143</v>
      </c>
      <c r="P9" s="674">
        <f t="shared" si="0"/>
        <v>3</v>
      </c>
      <c r="Q9" s="986"/>
      <c r="S9" s="575"/>
    </row>
    <row r="10" spans="1:19" s="189" customFormat="1" ht="45" customHeight="1">
      <c r="A10" s="191">
        <v>5</v>
      </c>
      <c r="B10" s="529" t="s">
        <v>496</v>
      </c>
      <c r="C10" s="524" t="s">
        <v>492</v>
      </c>
      <c r="D10" s="530" t="s">
        <v>495</v>
      </c>
      <c r="E10" s="193">
        <v>2665</v>
      </c>
      <c r="F10" s="525">
        <v>39896</v>
      </c>
      <c r="G10" s="525">
        <v>40376</v>
      </c>
      <c r="H10" s="649">
        <f>IF(G10-F10+1&gt;=2*365,2*365,G10-F10+1)</f>
        <v>481</v>
      </c>
      <c r="I10" s="525">
        <v>39896</v>
      </c>
      <c r="J10" s="525">
        <v>40375</v>
      </c>
      <c r="K10" s="649">
        <f>IF(J10-I10+1&gt;=2*365,2*365,J10-I10+1)</f>
        <v>480</v>
      </c>
      <c r="L10" s="650" t="s">
        <v>491</v>
      </c>
      <c r="M10" s="193">
        <v>51</v>
      </c>
      <c r="N10" s="672">
        <f>E10-M10</f>
        <v>2614</v>
      </c>
      <c r="O10" s="673">
        <f>N10/(배점기준!$G$9/1000)</f>
        <v>1.7359785200882734</v>
      </c>
      <c r="P10" s="674">
        <f t="shared" si="0"/>
        <v>1.496881496881497</v>
      </c>
      <c r="Q10" s="986"/>
      <c r="S10" s="575"/>
    </row>
    <row r="11" spans="1:19" s="187" customFormat="1" ht="45" customHeight="1" thickBot="1">
      <c r="A11" s="969" t="s">
        <v>40</v>
      </c>
      <c r="B11" s="970"/>
      <c r="C11" s="970"/>
      <c r="D11" s="970"/>
      <c r="E11" s="970"/>
      <c r="F11" s="970"/>
      <c r="G11" s="970"/>
      <c r="H11" s="970"/>
      <c r="I11" s="970"/>
      <c r="J11" s="970"/>
      <c r="K11" s="970"/>
      <c r="L11" s="970"/>
      <c r="M11" s="970"/>
      <c r="N11" s="970"/>
      <c r="O11" s="653"/>
      <c r="P11" s="353">
        <f>SUM(P6:P10)</f>
        <v>5.4735938256486207</v>
      </c>
      <c r="Q11" s="993"/>
    </row>
    <row r="12" spans="1:19" s="189" customFormat="1" ht="45" customHeight="1" thickBot="1">
      <c r="A12" s="971" t="s">
        <v>56</v>
      </c>
      <c r="B12" s="972"/>
      <c r="C12" s="972"/>
      <c r="D12" s="972"/>
      <c r="E12" s="972"/>
      <c r="F12" s="972"/>
      <c r="G12" s="972"/>
      <c r="H12" s="972"/>
      <c r="I12" s="972"/>
      <c r="J12" s="972"/>
      <c r="K12" s="972"/>
      <c r="L12" s="972"/>
      <c r="M12" s="972"/>
      <c r="N12" s="972"/>
      <c r="O12" s="654"/>
      <c r="P12" s="352">
        <f>P11</f>
        <v>5.4735938256486207</v>
      </c>
      <c r="Q12" s="994"/>
    </row>
    <row r="13" spans="1:19" s="197" customFormat="1" ht="19.5" customHeight="1">
      <c r="A13" s="195"/>
      <c r="B13" s="963"/>
      <c r="C13" s="963"/>
      <c r="D13" s="963"/>
      <c r="E13" s="963"/>
      <c r="F13" s="963"/>
      <c r="G13" s="963"/>
      <c r="H13" s="963"/>
      <c r="I13" s="963"/>
      <c r="J13" s="963"/>
      <c r="K13" s="963"/>
      <c r="L13" s="963"/>
      <c r="M13" s="963"/>
      <c r="N13" s="963"/>
      <c r="O13" s="963"/>
      <c r="P13" s="196"/>
    </row>
    <row r="14" spans="1:19" s="161" customFormat="1" ht="18.75" customHeight="1">
      <c r="A14" s="250"/>
      <c r="B14" s="160"/>
      <c r="C14" s="160"/>
      <c r="D14" s="160"/>
      <c r="E14" s="160"/>
      <c r="F14" s="160"/>
      <c r="G14" s="160"/>
      <c r="K14" s="324"/>
      <c r="L14" s="162"/>
      <c r="M14" s="162"/>
      <c r="N14" s="162"/>
      <c r="O14" s="162"/>
    </row>
    <row r="15" spans="1:19" s="159" customFormat="1" ht="18.75" customHeight="1">
      <c r="A15" s="250"/>
      <c r="B15" s="160"/>
      <c r="C15" s="160"/>
      <c r="D15" s="160"/>
      <c r="E15" s="160"/>
      <c r="F15" s="163"/>
      <c r="G15" s="163"/>
      <c r="H15" s="163"/>
      <c r="I15" s="163"/>
      <c r="J15" s="163"/>
      <c r="K15" s="161"/>
    </row>
    <row r="16" spans="1:19" s="159" customFormat="1" ht="42.75" customHeight="1">
      <c r="A16" s="250"/>
      <c r="B16" s="962"/>
      <c r="C16" s="962"/>
      <c r="D16" s="962"/>
      <c r="E16" s="962"/>
      <c r="F16" s="962"/>
      <c r="G16" s="962"/>
      <c r="H16" s="962"/>
      <c r="I16" s="163"/>
      <c r="J16" s="163"/>
      <c r="K16" s="161"/>
    </row>
    <row r="17" spans="1:16" s="159" customFormat="1" ht="18.75" customHeight="1">
      <c r="A17" s="250"/>
      <c r="C17" s="160"/>
      <c r="D17" s="160"/>
      <c r="E17" s="160"/>
      <c r="F17" s="163"/>
      <c r="G17" s="163"/>
      <c r="H17" s="163"/>
      <c r="I17" s="163"/>
      <c r="J17" s="163"/>
      <c r="K17" s="161"/>
    </row>
    <row r="18" spans="1:16" s="159" customFormat="1" ht="18.75" customHeight="1">
      <c r="A18" s="250"/>
      <c r="B18" s="160"/>
      <c r="C18" s="160"/>
      <c r="D18" s="160"/>
      <c r="E18" s="160"/>
      <c r="F18" s="163"/>
      <c r="G18" s="163"/>
      <c r="H18" s="163"/>
      <c r="I18" s="163"/>
      <c r="J18" s="163"/>
      <c r="K18" s="161"/>
    </row>
    <row r="19" spans="1:16" s="159" customFormat="1" ht="18.75" customHeight="1">
      <c r="A19" s="250"/>
      <c r="B19" s="160"/>
      <c r="C19" s="160"/>
      <c r="D19" s="160"/>
      <c r="E19" s="160"/>
      <c r="F19" s="160"/>
      <c r="G19" s="160"/>
      <c r="H19" s="161"/>
      <c r="I19" s="163"/>
      <c r="J19" s="163"/>
      <c r="K19" s="161"/>
    </row>
    <row r="20" spans="1:16" s="161" customFormat="1" ht="55.5" customHeight="1">
      <c r="A20" s="250"/>
      <c r="B20" s="950"/>
      <c r="C20" s="950"/>
      <c r="D20" s="950"/>
      <c r="E20" s="950"/>
      <c r="F20" s="950"/>
      <c r="G20" s="950"/>
      <c r="H20" s="950"/>
      <c r="I20" s="950"/>
      <c r="J20" s="950"/>
      <c r="K20" s="950"/>
      <c r="L20" s="950"/>
      <c r="M20" s="950"/>
      <c r="N20" s="162"/>
      <c r="O20" s="162"/>
    </row>
    <row r="21" spans="1:16" s="161" customFormat="1" ht="18.75" customHeight="1">
      <c r="A21" s="250"/>
      <c r="B21" s="160"/>
      <c r="C21" s="160"/>
      <c r="D21" s="160"/>
      <c r="E21" s="160"/>
      <c r="F21" s="160"/>
      <c r="G21" s="160"/>
      <c r="K21" s="324"/>
      <c r="L21" s="162"/>
      <c r="M21" s="162"/>
      <c r="N21" s="162"/>
      <c r="O21" s="162"/>
    </row>
    <row r="22" spans="1:16" s="161" customFormat="1" ht="18.75" customHeight="1">
      <c r="A22" s="250"/>
      <c r="B22" s="166"/>
      <c r="C22" s="166"/>
      <c r="D22" s="166"/>
      <c r="E22" s="166"/>
      <c r="F22" s="160"/>
      <c r="G22" s="160"/>
      <c r="K22" s="324"/>
      <c r="L22" s="162"/>
      <c r="M22" s="162"/>
      <c r="N22" s="162"/>
      <c r="O22" s="162"/>
    </row>
    <row r="23" spans="1:16" s="161" customFormat="1" ht="15" customHeight="1">
      <c r="B23" s="166"/>
      <c r="C23" s="166"/>
      <c r="D23" s="166"/>
      <c r="E23" s="166"/>
      <c r="F23" s="160"/>
      <c r="G23" s="160"/>
      <c r="K23" s="324"/>
      <c r="L23" s="162"/>
      <c r="M23" s="162"/>
      <c r="N23" s="162"/>
      <c r="O23" s="162"/>
    </row>
    <row r="24" spans="1:16" s="161" customFormat="1" ht="15" customHeight="1">
      <c r="B24" s="166"/>
      <c r="C24" s="166"/>
      <c r="D24" s="166"/>
      <c r="E24" s="166"/>
      <c r="F24" s="160"/>
      <c r="G24" s="160"/>
      <c r="K24" s="324"/>
      <c r="L24" s="162"/>
      <c r="M24" s="162"/>
      <c r="N24" s="162"/>
      <c r="O24" s="162"/>
    </row>
    <row r="25" spans="1:16" s="197" customFormat="1" ht="15" customHeight="1">
      <c r="A25" s="160"/>
      <c r="B25" s="160"/>
      <c r="C25" s="160"/>
      <c r="D25" s="160"/>
      <c r="E25" s="160"/>
      <c r="F25" s="198"/>
      <c r="G25" s="198"/>
      <c r="H25" s="161"/>
      <c r="I25" s="161"/>
      <c r="J25" s="161"/>
      <c r="K25" s="211"/>
      <c r="L25" s="199"/>
      <c r="M25" s="199"/>
      <c r="N25" s="199"/>
      <c r="O25" s="199"/>
      <c r="P25" s="200"/>
    </row>
    <row r="26" spans="1:16" ht="15" customHeight="1">
      <c r="B26" s="146"/>
      <c r="C26" s="146"/>
      <c r="D26" s="146"/>
      <c r="E26" s="146"/>
      <c r="F26" s="138"/>
      <c r="G26" s="138"/>
      <c r="H26" s="139"/>
      <c r="I26" s="140"/>
      <c r="J26" s="140"/>
    </row>
    <row r="27" spans="1:16" ht="15" customHeight="1">
      <c r="C27" s="138"/>
      <c r="D27" s="138"/>
      <c r="E27" s="138"/>
      <c r="F27" s="138"/>
      <c r="G27" s="138"/>
      <c r="H27" s="139"/>
      <c r="I27" s="140"/>
      <c r="J27" s="140"/>
    </row>
    <row r="28" spans="1:16" ht="15" customHeight="1">
      <c r="C28" s="138"/>
      <c r="D28" s="138"/>
      <c r="E28" s="138"/>
      <c r="F28" s="138"/>
      <c r="G28" s="138"/>
      <c r="H28" s="139"/>
      <c r="I28" s="140"/>
      <c r="J28" s="140"/>
    </row>
    <row r="29" spans="1:16" ht="12" customHeight="1">
      <c r="C29" s="138"/>
      <c r="D29" s="138"/>
      <c r="E29" s="138"/>
      <c r="F29" s="138"/>
      <c r="G29" s="138"/>
      <c r="H29" s="139"/>
      <c r="I29" s="140"/>
      <c r="J29" s="140"/>
    </row>
    <row r="30" spans="1:16" ht="12" customHeight="1">
      <c r="C30" s="138"/>
      <c r="D30" s="138"/>
      <c r="E30" s="138"/>
      <c r="F30" s="138"/>
      <c r="G30" s="138"/>
      <c r="H30" s="139"/>
      <c r="I30" s="140"/>
      <c r="J30" s="140"/>
    </row>
    <row r="31" spans="1:16" ht="12" customHeight="1">
      <c r="C31" s="138"/>
      <c r="D31" s="138"/>
      <c r="E31" s="138"/>
      <c r="F31" s="138"/>
      <c r="G31" s="138"/>
      <c r="H31" s="139"/>
      <c r="I31" s="140"/>
      <c r="J31" s="140"/>
    </row>
    <row r="32" spans="1:16" ht="12" customHeight="1">
      <c r="C32" s="138"/>
      <c r="D32" s="138"/>
      <c r="E32" s="138"/>
      <c r="F32" s="138"/>
      <c r="G32" s="138"/>
      <c r="H32" s="139"/>
      <c r="I32" s="140"/>
      <c r="J32" s="140"/>
    </row>
    <row r="33" spans="1:19" ht="12" customHeight="1">
      <c r="C33" s="138"/>
      <c r="D33" s="138"/>
      <c r="E33" s="138"/>
      <c r="F33" s="138"/>
      <c r="G33" s="138"/>
      <c r="H33" s="139"/>
      <c r="I33" s="140"/>
      <c r="J33" s="140"/>
    </row>
    <row r="34" spans="1:19" ht="12" customHeight="1">
      <c r="C34" s="138"/>
      <c r="D34" s="138"/>
      <c r="E34" s="138"/>
      <c r="F34" s="138"/>
      <c r="G34" s="138"/>
      <c r="H34" s="139"/>
      <c r="I34" s="140"/>
      <c r="J34" s="140"/>
    </row>
    <row r="35" spans="1:19" ht="12" customHeight="1">
      <c r="C35" s="138"/>
      <c r="D35" s="138"/>
      <c r="E35" s="138"/>
      <c r="F35" s="138"/>
      <c r="G35" s="138"/>
      <c r="H35" s="139"/>
      <c r="I35" s="140"/>
      <c r="J35" s="140"/>
    </row>
    <row r="36" spans="1:19" ht="12" customHeight="1">
      <c r="C36" s="138"/>
      <c r="D36" s="138"/>
      <c r="E36" s="138"/>
      <c r="F36" s="138"/>
      <c r="G36" s="138"/>
      <c r="H36" s="139"/>
      <c r="I36" s="140"/>
      <c r="J36" s="140"/>
    </row>
    <row r="37" spans="1:19" ht="12" customHeight="1">
      <c r="C37" s="138"/>
      <c r="D37" s="138"/>
      <c r="E37" s="138"/>
      <c r="F37" s="138"/>
      <c r="G37" s="138"/>
      <c r="H37" s="139"/>
      <c r="I37" s="140"/>
      <c r="J37" s="140"/>
    </row>
    <row r="38" spans="1:19" ht="12" customHeight="1">
      <c r="C38" s="138"/>
      <c r="D38" s="138"/>
      <c r="E38" s="138"/>
      <c r="F38" s="138"/>
      <c r="G38" s="138"/>
      <c r="H38" s="139"/>
      <c r="I38" s="140"/>
      <c r="J38" s="140"/>
    </row>
    <row r="39" spans="1:19" ht="12" customHeight="1">
      <c r="C39" s="138"/>
      <c r="D39" s="138"/>
      <c r="E39" s="138"/>
      <c r="F39" s="138"/>
      <c r="G39" s="138"/>
      <c r="H39" s="139"/>
      <c r="I39" s="140"/>
      <c r="J39" s="140"/>
    </row>
    <row r="40" spans="1:19" s="164" customFormat="1" ht="12" customHeight="1">
      <c r="A40" s="137"/>
      <c r="B40" s="133"/>
      <c r="C40" s="138"/>
      <c r="D40" s="138"/>
      <c r="E40" s="138"/>
      <c r="F40" s="138"/>
      <c r="G40" s="138"/>
      <c r="H40" s="139"/>
      <c r="I40" s="140"/>
      <c r="J40" s="140"/>
      <c r="L40" s="136"/>
      <c r="M40" s="136"/>
      <c r="N40" s="136"/>
      <c r="O40" s="136"/>
      <c r="P40" s="131"/>
      <c r="Q40" s="128"/>
      <c r="R40" s="128"/>
      <c r="S40" s="128"/>
    </row>
    <row r="41" spans="1:19" s="164" customFormat="1" ht="12" customHeight="1">
      <c r="A41" s="137"/>
      <c r="B41" s="133"/>
      <c r="C41" s="138"/>
      <c r="D41" s="138"/>
      <c r="E41" s="138"/>
      <c r="F41" s="138"/>
      <c r="G41" s="138"/>
      <c r="H41" s="139"/>
      <c r="I41" s="140"/>
      <c r="J41" s="140"/>
      <c r="L41" s="136"/>
      <c r="M41" s="136"/>
      <c r="N41" s="136"/>
      <c r="O41" s="136"/>
      <c r="P41" s="131"/>
      <c r="Q41" s="128"/>
      <c r="R41" s="128"/>
      <c r="S41" s="128"/>
    </row>
    <row r="42" spans="1:19" s="164" customFormat="1" ht="12" customHeight="1">
      <c r="A42" s="137"/>
      <c r="B42" s="133"/>
      <c r="C42" s="138"/>
      <c r="D42" s="138"/>
      <c r="E42" s="138"/>
      <c r="F42" s="138"/>
      <c r="G42" s="138"/>
      <c r="H42" s="139"/>
      <c r="I42" s="140"/>
      <c r="J42" s="140"/>
      <c r="L42" s="136"/>
      <c r="M42" s="136"/>
      <c r="N42" s="136"/>
      <c r="O42" s="136"/>
      <c r="P42" s="131"/>
      <c r="Q42" s="128"/>
      <c r="R42" s="128"/>
      <c r="S42" s="128"/>
    </row>
    <row r="43" spans="1:19" s="164" customFormat="1" ht="12" customHeight="1">
      <c r="A43" s="137"/>
      <c r="B43" s="133"/>
      <c r="C43" s="138"/>
      <c r="D43" s="138"/>
      <c r="E43" s="138"/>
      <c r="F43" s="138"/>
      <c r="G43" s="138"/>
      <c r="H43" s="139"/>
      <c r="I43" s="140"/>
      <c r="J43" s="140"/>
      <c r="L43" s="136"/>
      <c r="M43" s="136"/>
      <c r="N43" s="136"/>
      <c r="O43" s="136"/>
      <c r="P43" s="131"/>
      <c r="Q43" s="128"/>
      <c r="R43" s="128"/>
      <c r="S43" s="128"/>
    </row>
    <row r="44" spans="1:19" s="164" customFormat="1" ht="12" customHeight="1">
      <c r="A44" s="137"/>
      <c r="B44" s="133"/>
      <c r="C44" s="138"/>
      <c r="D44" s="138"/>
      <c r="E44" s="138"/>
      <c r="F44" s="138"/>
      <c r="G44" s="138"/>
      <c r="H44" s="139"/>
      <c r="I44" s="140"/>
      <c r="J44" s="140"/>
      <c r="L44" s="136"/>
      <c r="M44" s="136"/>
      <c r="N44" s="136"/>
      <c r="O44" s="136"/>
      <c r="P44" s="131"/>
      <c r="Q44" s="128"/>
      <c r="R44" s="128"/>
      <c r="S44" s="128"/>
    </row>
    <row r="45" spans="1:19" s="164" customFormat="1" ht="12" customHeight="1">
      <c r="A45" s="137"/>
      <c r="B45" s="133"/>
      <c r="C45" s="138"/>
      <c r="D45" s="138"/>
      <c r="E45" s="138"/>
      <c r="F45" s="138"/>
      <c r="G45" s="138"/>
      <c r="H45" s="139"/>
      <c r="I45" s="140"/>
      <c r="J45" s="140"/>
      <c r="L45" s="136"/>
      <c r="M45" s="136"/>
      <c r="N45" s="136"/>
      <c r="O45" s="136"/>
      <c r="P45" s="131"/>
      <c r="Q45" s="128"/>
      <c r="R45" s="128"/>
      <c r="S45" s="128"/>
    </row>
    <row r="46" spans="1:19" s="164" customFormat="1" ht="12" customHeight="1">
      <c r="A46" s="137"/>
      <c r="B46" s="133"/>
      <c r="C46" s="138"/>
      <c r="D46" s="138"/>
      <c r="E46" s="138"/>
      <c r="F46" s="138"/>
      <c r="G46" s="138"/>
      <c r="H46" s="139"/>
      <c r="I46" s="140"/>
      <c r="J46" s="140"/>
      <c r="L46" s="136"/>
      <c r="M46" s="136"/>
      <c r="N46" s="136"/>
      <c r="O46" s="136"/>
      <c r="P46" s="131"/>
      <c r="Q46" s="128"/>
      <c r="R46" s="128"/>
      <c r="S46" s="128"/>
    </row>
    <row r="47" spans="1:19" s="164" customFormat="1" ht="12" customHeight="1">
      <c r="A47" s="137"/>
      <c r="B47" s="133"/>
      <c r="C47" s="138"/>
      <c r="D47" s="138"/>
      <c r="E47" s="138"/>
      <c r="F47" s="138"/>
      <c r="G47" s="138"/>
      <c r="H47" s="139"/>
      <c r="I47" s="140"/>
      <c r="J47" s="140"/>
      <c r="L47" s="136"/>
      <c r="M47" s="136"/>
      <c r="N47" s="136"/>
      <c r="O47" s="136"/>
      <c r="P47" s="131"/>
      <c r="Q47" s="128"/>
      <c r="R47" s="128"/>
      <c r="S47" s="128"/>
    </row>
    <row r="48" spans="1:19" s="164" customFormat="1" ht="12" customHeight="1">
      <c r="A48" s="137"/>
      <c r="B48" s="133"/>
      <c r="C48" s="138"/>
      <c r="D48" s="138"/>
      <c r="E48" s="138"/>
      <c r="F48" s="138"/>
      <c r="G48" s="138"/>
      <c r="H48" s="139"/>
      <c r="I48" s="140"/>
      <c r="J48" s="140"/>
      <c r="L48" s="136"/>
      <c r="M48" s="136"/>
      <c r="N48" s="136"/>
      <c r="O48" s="136"/>
      <c r="P48" s="131"/>
      <c r="Q48" s="128"/>
      <c r="R48" s="128"/>
      <c r="S48" s="128"/>
    </row>
    <row r="49" spans="1:19" s="164" customFormat="1" ht="12" customHeight="1">
      <c r="A49" s="137"/>
      <c r="B49" s="133"/>
      <c r="C49" s="138"/>
      <c r="D49" s="138"/>
      <c r="E49" s="138"/>
      <c r="F49" s="138"/>
      <c r="G49" s="138"/>
      <c r="H49" s="139"/>
      <c r="I49" s="140"/>
      <c r="J49" s="140"/>
      <c r="L49" s="136"/>
      <c r="M49" s="136"/>
      <c r="N49" s="136"/>
      <c r="O49" s="136"/>
      <c r="P49" s="131"/>
      <c r="Q49" s="128"/>
      <c r="R49" s="128"/>
      <c r="S49" s="128"/>
    </row>
    <row r="50" spans="1:19" s="164" customFormat="1" ht="12" customHeight="1">
      <c r="A50" s="137"/>
      <c r="B50" s="133"/>
      <c r="C50" s="138"/>
      <c r="D50" s="138"/>
      <c r="E50" s="138"/>
      <c r="F50" s="138"/>
      <c r="G50" s="138"/>
      <c r="H50" s="139"/>
      <c r="I50" s="140"/>
      <c r="J50" s="140"/>
      <c r="L50" s="136"/>
      <c r="M50" s="136"/>
      <c r="N50" s="136"/>
      <c r="O50" s="136"/>
      <c r="P50" s="131"/>
      <c r="Q50" s="128"/>
      <c r="R50" s="128"/>
      <c r="S50" s="128"/>
    </row>
    <row r="51" spans="1:19" s="164" customFormat="1" ht="12" customHeight="1">
      <c r="A51" s="137"/>
      <c r="B51" s="133"/>
      <c r="C51" s="138"/>
      <c r="D51" s="138"/>
      <c r="E51" s="138"/>
      <c r="F51" s="138"/>
      <c r="G51" s="138"/>
      <c r="H51" s="139"/>
      <c r="I51" s="140"/>
      <c r="J51" s="140"/>
      <c r="L51" s="136"/>
      <c r="M51" s="136"/>
      <c r="N51" s="136"/>
      <c r="O51" s="136"/>
      <c r="P51" s="131"/>
      <c r="Q51" s="128"/>
      <c r="R51" s="128"/>
      <c r="S51" s="128"/>
    </row>
    <row r="52" spans="1:19" s="164" customFormat="1" ht="12" customHeight="1">
      <c r="A52" s="137"/>
      <c r="B52" s="133"/>
      <c r="C52" s="138"/>
      <c r="D52" s="138"/>
      <c r="E52" s="138"/>
      <c r="F52" s="138"/>
      <c r="G52" s="138"/>
      <c r="H52" s="139"/>
      <c r="I52" s="140"/>
      <c r="J52" s="140"/>
      <c r="L52" s="136"/>
      <c r="M52" s="136"/>
      <c r="N52" s="136"/>
      <c r="O52" s="136"/>
      <c r="P52" s="131"/>
      <c r="Q52" s="128"/>
      <c r="R52" s="128"/>
      <c r="S52" s="128"/>
    </row>
    <row r="53" spans="1:19" s="164" customFormat="1" ht="12" customHeight="1">
      <c r="A53" s="137"/>
      <c r="B53" s="133"/>
      <c r="C53" s="138"/>
      <c r="D53" s="138"/>
      <c r="E53" s="138"/>
      <c r="F53" s="138"/>
      <c r="G53" s="138"/>
      <c r="H53" s="139"/>
      <c r="I53" s="140"/>
      <c r="J53" s="140"/>
      <c r="L53" s="136"/>
      <c r="M53" s="136"/>
      <c r="N53" s="136"/>
      <c r="O53" s="136"/>
      <c r="P53" s="131"/>
      <c r="Q53" s="128"/>
      <c r="R53" s="128"/>
      <c r="S53" s="128"/>
    </row>
    <row r="54" spans="1:19" s="164" customFormat="1" ht="12" customHeight="1">
      <c r="A54" s="137"/>
      <c r="B54" s="133"/>
      <c r="C54" s="138"/>
      <c r="D54" s="138"/>
      <c r="E54" s="138"/>
      <c r="F54" s="138"/>
      <c r="G54" s="138"/>
      <c r="H54" s="139"/>
      <c r="I54" s="140"/>
      <c r="J54" s="140"/>
      <c r="L54" s="136"/>
      <c r="M54" s="136"/>
      <c r="N54" s="136"/>
      <c r="O54" s="136"/>
      <c r="P54" s="131"/>
      <c r="Q54" s="128"/>
      <c r="R54" s="128"/>
      <c r="S54" s="128"/>
    </row>
    <row r="55" spans="1:19" s="164" customFormat="1" ht="12" customHeight="1">
      <c r="A55" s="137"/>
      <c r="B55" s="133"/>
      <c r="C55" s="138"/>
      <c r="D55" s="138"/>
      <c r="E55" s="138"/>
      <c r="F55" s="138"/>
      <c r="G55" s="138"/>
      <c r="H55" s="139"/>
      <c r="I55" s="140"/>
      <c r="J55" s="140"/>
      <c r="L55" s="136"/>
      <c r="M55" s="136"/>
      <c r="N55" s="136"/>
      <c r="O55" s="136"/>
      <c r="P55" s="131"/>
      <c r="Q55" s="128"/>
      <c r="R55" s="128"/>
      <c r="S55" s="128"/>
    </row>
    <row r="56" spans="1:19" s="164" customFormat="1" ht="12" customHeight="1">
      <c r="A56" s="137"/>
      <c r="B56" s="133"/>
      <c r="C56" s="138"/>
      <c r="D56" s="138"/>
      <c r="E56" s="138"/>
      <c r="F56" s="138"/>
      <c r="G56" s="138"/>
      <c r="H56" s="139"/>
      <c r="I56" s="140"/>
      <c r="J56" s="140"/>
      <c r="L56" s="136"/>
      <c r="M56" s="136"/>
      <c r="N56" s="136"/>
      <c r="O56" s="136"/>
      <c r="P56" s="131"/>
      <c r="Q56" s="128"/>
      <c r="R56" s="128"/>
      <c r="S56" s="128"/>
    </row>
    <row r="57" spans="1:19" s="164" customFormat="1" ht="12" customHeight="1">
      <c r="A57" s="137"/>
      <c r="B57" s="133"/>
      <c r="C57" s="138"/>
      <c r="D57" s="138"/>
      <c r="E57" s="138"/>
      <c r="F57" s="138"/>
      <c r="G57" s="138"/>
      <c r="H57" s="139"/>
      <c r="I57" s="140"/>
      <c r="J57" s="140"/>
      <c r="L57" s="136"/>
      <c r="M57" s="136"/>
      <c r="N57" s="136"/>
      <c r="O57" s="136"/>
      <c r="P57" s="131"/>
      <c r="Q57" s="128"/>
      <c r="R57" s="128"/>
      <c r="S57" s="128"/>
    </row>
    <row r="58" spans="1:19" s="164" customFormat="1" ht="12" customHeight="1">
      <c r="A58" s="137"/>
      <c r="B58" s="133"/>
      <c r="C58" s="138"/>
      <c r="D58" s="138"/>
      <c r="E58" s="138"/>
      <c r="F58" s="138"/>
      <c r="G58" s="138"/>
      <c r="H58" s="139"/>
      <c r="I58" s="140"/>
      <c r="J58" s="140"/>
      <c r="L58" s="136"/>
      <c r="M58" s="136"/>
      <c r="N58" s="136"/>
      <c r="O58" s="136"/>
      <c r="P58" s="131"/>
      <c r="Q58" s="128"/>
      <c r="R58" s="128"/>
      <c r="S58" s="128"/>
    </row>
    <row r="59" spans="1:19" s="164" customFormat="1" ht="12" customHeight="1">
      <c r="A59" s="137"/>
      <c r="B59" s="133"/>
      <c r="C59" s="138"/>
      <c r="D59" s="138"/>
      <c r="E59" s="138"/>
      <c r="F59" s="138"/>
      <c r="G59" s="138"/>
      <c r="H59" s="139"/>
      <c r="I59" s="140"/>
      <c r="J59" s="140"/>
      <c r="L59" s="136"/>
      <c r="M59" s="136"/>
      <c r="N59" s="136"/>
      <c r="O59" s="136"/>
      <c r="P59" s="131"/>
      <c r="Q59" s="128"/>
      <c r="R59" s="128"/>
      <c r="S59" s="128"/>
    </row>
    <row r="60" spans="1:19" s="164" customFormat="1" ht="12" customHeight="1">
      <c r="A60" s="137"/>
      <c r="B60" s="133"/>
      <c r="C60" s="138"/>
      <c r="D60" s="138"/>
      <c r="E60" s="138"/>
      <c r="F60" s="138"/>
      <c r="G60" s="138"/>
      <c r="H60" s="139"/>
      <c r="I60" s="140"/>
      <c r="J60" s="140"/>
      <c r="L60" s="136"/>
      <c r="M60" s="136"/>
      <c r="N60" s="136"/>
      <c r="O60" s="136"/>
      <c r="P60" s="131"/>
      <c r="Q60" s="128"/>
      <c r="R60" s="128"/>
      <c r="S60" s="128"/>
    </row>
    <row r="61" spans="1:19" s="164" customFormat="1" ht="12" customHeight="1">
      <c r="A61" s="137"/>
      <c r="B61" s="133"/>
      <c r="C61" s="138"/>
      <c r="D61" s="138"/>
      <c r="E61" s="138"/>
      <c r="F61" s="138"/>
      <c r="G61" s="138"/>
      <c r="H61" s="139"/>
      <c r="I61" s="140"/>
      <c r="J61" s="140"/>
      <c r="L61" s="136"/>
      <c r="M61" s="136"/>
      <c r="N61" s="136"/>
      <c r="O61" s="136"/>
      <c r="P61" s="131"/>
      <c r="Q61" s="128"/>
      <c r="R61" s="128"/>
      <c r="S61" s="128"/>
    </row>
    <row r="62" spans="1:19" s="164" customFormat="1" ht="12" customHeight="1">
      <c r="A62" s="137"/>
      <c r="B62" s="133"/>
      <c r="C62" s="138"/>
      <c r="D62" s="138"/>
      <c r="E62" s="138"/>
      <c r="F62" s="138"/>
      <c r="G62" s="138"/>
      <c r="H62" s="139"/>
      <c r="I62" s="140"/>
      <c r="J62" s="140"/>
      <c r="L62" s="136"/>
      <c r="M62" s="136"/>
      <c r="N62" s="136"/>
      <c r="O62" s="136"/>
      <c r="P62" s="131"/>
      <c r="Q62" s="128"/>
      <c r="R62" s="128"/>
      <c r="S62" s="128"/>
    </row>
    <row r="63" spans="1:19" s="164" customFormat="1" ht="12" customHeight="1">
      <c r="A63" s="137"/>
      <c r="B63" s="133"/>
      <c r="C63" s="138"/>
      <c r="D63" s="138"/>
      <c r="E63" s="138"/>
      <c r="F63" s="138"/>
      <c r="G63" s="138"/>
      <c r="H63" s="139"/>
      <c r="I63" s="140"/>
      <c r="J63" s="140"/>
      <c r="L63" s="136"/>
      <c r="M63" s="136"/>
      <c r="N63" s="136"/>
      <c r="O63" s="136"/>
      <c r="P63" s="131"/>
      <c r="Q63" s="128"/>
      <c r="R63" s="128"/>
      <c r="S63" s="128"/>
    </row>
    <row r="64" spans="1:19" s="164" customFormat="1" ht="12" customHeight="1">
      <c r="A64" s="137"/>
      <c r="B64" s="133"/>
      <c r="C64" s="138"/>
      <c r="D64" s="138"/>
      <c r="E64" s="138"/>
      <c r="F64" s="138"/>
      <c r="G64" s="138"/>
      <c r="H64" s="139"/>
      <c r="I64" s="140"/>
      <c r="J64" s="140"/>
      <c r="L64" s="136"/>
      <c r="M64" s="136"/>
      <c r="N64" s="136"/>
      <c r="O64" s="136"/>
      <c r="P64" s="131"/>
      <c r="Q64" s="128"/>
      <c r="R64" s="128"/>
      <c r="S64" s="128"/>
    </row>
    <row r="65" spans="1:19" s="164" customFormat="1" ht="12" customHeight="1">
      <c r="A65" s="137"/>
      <c r="B65" s="133"/>
      <c r="C65" s="138"/>
      <c r="D65" s="138"/>
      <c r="E65" s="138"/>
      <c r="F65" s="138"/>
      <c r="G65" s="138"/>
      <c r="H65" s="139"/>
      <c r="I65" s="140"/>
      <c r="J65" s="140"/>
      <c r="L65" s="136"/>
      <c r="M65" s="136"/>
      <c r="N65" s="136"/>
      <c r="O65" s="136"/>
      <c r="P65" s="131"/>
      <c r="Q65" s="128"/>
      <c r="R65" s="128"/>
      <c r="S65" s="128"/>
    </row>
    <row r="66" spans="1:19" s="164" customFormat="1" ht="12" customHeight="1">
      <c r="A66" s="137"/>
      <c r="B66" s="133"/>
      <c r="C66" s="138"/>
      <c r="D66" s="138"/>
      <c r="E66" s="138"/>
      <c r="F66" s="138"/>
      <c r="G66" s="138"/>
      <c r="H66" s="139"/>
      <c r="I66" s="140"/>
      <c r="J66" s="140"/>
      <c r="L66" s="136"/>
      <c r="M66" s="136"/>
      <c r="N66" s="136"/>
      <c r="O66" s="136"/>
      <c r="P66" s="131"/>
      <c r="Q66" s="128"/>
      <c r="R66" s="128"/>
      <c r="S66" s="128"/>
    </row>
    <row r="67" spans="1:19" s="164" customFormat="1" ht="12" customHeight="1">
      <c r="A67" s="137"/>
      <c r="B67" s="133"/>
      <c r="C67" s="138"/>
      <c r="D67" s="138"/>
      <c r="E67" s="138"/>
      <c r="F67" s="138"/>
      <c r="G67" s="138"/>
      <c r="H67" s="139"/>
      <c r="I67" s="140"/>
      <c r="J67" s="140"/>
      <c r="L67" s="136"/>
      <c r="M67" s="136"/>
      <c r="N67" s="136"/>
      <c r="O67" s="136"/>
      <c r="P67" s="131"/>
      <c r="Q67" s="128"/>
      <c r="R67" s="128"/>
      <c r="S67" s="128"/>
    </row>
    <row r="68" spans="1:19" s="164" customFormat="1" ht="12" customHeight="1">
      <c r="A68" s="137"/>
      <c r="B68" s="133"/>
      <c r="C68" s="138"/>
      <c r="D68" s="138"/>
      <c r="E68" s="138"/>
      <c r="F68" s="138"/>
      <c r="G68" s="138"/>
      <c r="H68" s="139"/>
      <c r="I68" s="140"/>
      <c r="J68" s="140"/>
      <c r="L68" s="136"/>
      <c r="M68" s="136"/>
      <c r="N68" s="136"/>
      <c r="O68" s="136"/>
      <c r="P68" s="131"/>
      <c r="Q68" s="128"/>
      <c r="R68" s="128"/>
      <c r="S68" s="128"/>
    </row>
    <row r="69" spans="1:19" s="164" customFormat="1" ht="12" customHeight="1">
      <c r="A69" s="137"/>
      <c r="B69" s="133"/>
      <c r="C69" s="138"/>
      <c r="D69" s="138"/>
      <c r="E69" s="138"/>
      <c r="F69" s="138"/>
      <c r="G69" s="138"/>
      <c r="H69" s="139"/>
      <c r="I69" s="140"/>
      <c r="J69" s="140"/>
      <c r="L69" s="136"/>
      <c r="M69" s="136"/>
      <c r="N69" s="136"/>
      <c r="O69" s="136"/>
      <c r="P69" s="131"/>
      <c r="Q69" s="128"/>
      <c r="R69" s="128"/>
      <c r="S69" s="128"/>
    </row>
    <row r="70" spans="1:19" s="164" customFormat="1" ht="12" customHeight="1">
      <c r="A70" s="137"/>
      <c r="B70" s="133"/>
      <c r="C70" s="138"/>
      <c r="D70" s="138"/>
      <c r="E70" s="138"/>
      <c r="F70" s="138"/>
      <c r="G70" s="138"/>
      <c r="H70" s="139"/>
      <c r="I70" s="140"/>
      <c r="J70" s="140"/>
      <c r="L70" s="136"/>
      <c r="M70" s="136"/>
      <c r="N70" s="136"/>
      <c r="O70" s="136"/>
      <c r="P70" s="131"/>
      <c r="Q70" s="128"/>
      <c r="R70" s="128"/>
      <c r="S70" s="128"/>
    </row>
    <row r="71" spans="1:19" s="164" customFormat="1" ht="12" customHeight="1">
      <c r="A71" s="137"/>
      <c r="B71" s="133"/>
      <c r="C71" s="138"/>
      <c r="D71" s="138"/>
      <c r="E71" s="138"/>
      <c r="F71" s="138"/>
      <c r="G71" s="138"/>
      <c r="H71" s="139"/>
      <c r="I71" s="140"/>
      <c r="J71" s="140"/>
      <c r="L71" s="136"/>
      <c r="M71" s="136"/>
      <c r="N71" s="136"/>
      <c r="O71" s="136"/>
      <c r="P71" s="131"/>
      <c r="Q71" s="128"/>
      <c r="R71" s="128"/>
      <c r="S71" s="128"/>
    </row>
    <row r="72" spans="1:19" s="164" customFormat="1" ht="12" customHeight="1">
      <c r="A72" s="137"/>
      <c r="B72" s="133"/>
      <c r="C72" s="138"/>
      <c r="D72" s="138"/>
      <c r="E72" s="138"/>
      <c r="F72" s="138"/>
      <c r="G72" s="138"/>
      <c r="H72" s="139"/>
      <c r="I72" s="140"/>
      <c r="J72" s="140"/>
      <c r="L72" s="136"/>
      <c r="M72" s="136"/>
      <c r="N72" s="136"/>
      <c r="O72" s="136"/>
      <c r="P72" s="131"/>
      <c r="Q72" s="128"/>
      <c r="R72" s="128"/>
      <c r="S72" s="128"/>
    </row>
    <row r="73" spans="1:19" s="164" customFormat="1" ht="12" customHeight="1">
      <c r="A73" s="137"/>
      <c r="B73" s="133"/>
      <c r="C73" s="138"/>
      <c r="D73" s="138"/>
      <c r="E73" s="138"/>
      <c r="F73" s="138"/>
      <c r="G73" s="138"/>
      <c r="H73" s="139"/>
      <c r="I73" s="140"/>
      <c r="J73" s="140"/>
      <c r="L73" s="136"/>
      <c r="M73" s="136"/>
      <c r="N73" s="136"/>
      <c r="O73" s="136"/>
      <c r="P73" s="131"/>
      <c r="Q73" s="128"/>
      <c r="R73" s="128"/>
      <c r="S73" s="128"/>
    </row>
    <row r="74" spans="1:19" s="164" customFormat="1" ht="12" customHeight="1">
      <c r="A74" s="137"/>
      <c r="B74" s="133"/>
      <c r="C74" s="138"/>
      <c r="D74" s="138"/>
      <c r="E74" s="138"/>
      <c r="F74" s="138"/>
      <c r="G74" s="138"/>
      <c r="H74" s="139"/>
      <c r="I74" s="140"/>
      <c r="J74" s="140"/>
      <c r="L74" s="136"/>
      <c r="M74" s="136"/>
      <c r="N74" s="136"/>
      <c r="O74" s="136"/>
      <c r="P74" s="131"/>
      <c r="Q74" s="128"/>
      <c r="R74" s="128"/>
      <c r="S74" s="128"/>
    </row>
    <row r="75" spans="1:19" s="164" customFormat="1" ht="12" customHeight="1">
      <c r="A75" s="137"/>
      <c r="B75" s="133"/>
      <c r="C75" s="138"/>
      <c r="D75" s="138"/>
      <c r="E75" s="138"/>
      <c r="F75" s="138"/>
      <c r="G75" s="138"/>
      <c r="H75" s="139"/>
      <c r="I75" s="140"/>
      <c r="J75" s="140"/>
      <c r="L75" s="136"/>
      <c r="M75" s="136"/>
      <c r="N75" s="136"/>
      <c r="O75" s="136"/>
      <c r="P75" s="131"/>
      <c r="Q75" s="128"/>
      <c r="R75" s="128"/>
      <c r="S75" s="128"/>
    </row>
    <row r="76" spans="1:19" s="164" customFormat="1" ht="12" customHeight="1">
      <c r="A76" s="137"/>
      <c r="B76" s="133"/>
      <c r="C76" s="138"/>
      <c r="D76" s="138"/>
      <c r="E76" s="138"/>
      <c r="F76" s="138"/>
      <c r="G76" s="138"/>
      <c r="H76" s="139"/>
      <c r="I76" s="140"/>
      <c r="J76" s="140"/>
      <c r="L76" s="136"/>
      <c r="M76" s="136"/>
      <c r="N76" s="136"/>
      <c r="O76" s="136"/>
      <c r="P76" s="131"/>
      <c r="Q76" s="128"/>
      <c r="R76" s="128"/>
      <c r="S76" s="128"/>
    </row>
    <row r="77" spans="1:19" s="164" customFormat="1" ht="12" customHeight="1">
      <c r="A77" s="137"/>
      <c r="B77" s="133"/>
      <c r="C77" s="138"/>
      <c r="D77" s="138"/>
      <c r="E77" s="138"/>
      <c r="F77" s="138"/>
      <c r="G77" s="138"/>
      <c r="H77" s="139"/>
      <c r="I77" s="140"/>
      <c r="J77" s="140"/>
      <c r="L77" s="136"/>
      <c r="M77" s="136"/>
      <c r="N77" s="136"/>
      <c r="O77" s="136"/>
      <c r="P77" s="131"/>
      <c r="Q77" s="128"/>
      <c r="R77" s="128"/>
      <c r="S77" s="128"/>
    </row>
    <row r="78" spans="1:19" s="164" customFormat="1" ht="12" customHeight="1">
      <c r="A78" s="137"/>
      <c r="B78" s="133"/>
      <c r="C78" s="138"/>
      <c r="D78" s="138"/>
      <c r="E78" s="138"/>
      <c r="F78" s="138"/>
      <c r="G78" s="138"/>
      <c r="H78" s="139"/>
      <c r="I78" s="140"/>
      <c r="J78" s="140"/>
      <c r="L78" s="136"/>
      <c r="M78" s="136"/>
      <c r="N78" s="136"/>
      <c r="O78" s="136"/>
      <c r="P78" s="131"/>
      <c r="Q78" s="128"/>
      <c r="R78" s="128"/>
      <c r="S78" s="128"/>
    </row>
    <row r="79" spans="1:19" s="164" customFormat="1" ht="12" customHeight="1">
      <c r="A79" s="137"/>
      <c r="B79" s="133"/>
      <c r="C79" s="138"/>
      <c r="D79" s="138"/>
      <c r="E79" s="138"/>
      <c r="F79" s="138"/>
      <c r="G79" s="138"/>
      <c r="H79" s="139"/>
      <c r="I79" s="140"/>
      <c r="J79" s="140"/>
      <c r="L79" s="136"/>
      <c r="M79" s="136"/>
      <c r="N79" s="136"/>
      <c r="O79" s="136"/>
      <c r="P79" s="131"/>
      <c r="Q79" s="128"/>
      <c r="R79" s="128"/>
      <c r="S79" s="128"/>
    </row>
    <row r="80" spans="1:19" s="164" customFormat="1" ht="12" customHeight="1">
      <c r="A80" s="137"/>
      <c r="B80" s="133"/>
      <c r="C80" s="138"/>
      <c r="D80" s="138"/>
      <c r="E80" s="138"/>
      <c r="F80" s="138"/>
      <c r="G80" s="138"/>
      <c r="H80" s="139"/>
      <c r="I80" s="140"/>
      <c r="J80" s="140"/>
      <c r="L80" s="136"/>
      <c r="M80" s="136"/>
      <c r="N80" s="136"/>
      <c r="O80" s="136"/>
      <c r="P80" s="131"/>
      <c r="Q80" s="128"/>
      <c r="R80" s="128"/>
      <c r="S80" s="128"/>
    </row>
    <row r="81" spans="1:19" s="164" customFormat="1" ht="12" customHeight="1">
      <c r="A81" s="137"/>
      <c r="B81" s="133"/>
      <c r="C81" s="138"/>
      <c r="D81" s="138"/>
      <c r="E81" s="138"/>
      <c r="F81" s="138"/>
      <c r="G81" s="138"/>
      <c r="H81" s="139"/>
      <c r="I81" s="140"/>
      <c r="J81" s="140"/>
      <c r="L81" s="136"/>
      <c r="M81" s="136"/>
      <c r="N81" s="136"/>
      <c r="O81" s="136"/>
      <c r="P81" s="131"/>
      <c r="Q81" s="128"/>
      <c r="R81" s="128"/>
      <c r="S81" s="128"/>
    </row>
    <row r="82" spans="1:19" s="164" customFormat="1" ht="12" customHeight="1">
      <c r="A82" s="137"/>
      <c r="B82" s="133"/>
      <c r="C82" s="138"/>
      <c r="D82" s="138"/>
      <c r="E82" s="138"/>
      <c r="F82" s="138"/>
      <c r="G82" s="138"/>
      <c r="H82" s="139"/>
      <c r="I82" s="140"/>
      <c r="J82" s="140"/>
      <c r="L82" s="136"/>
      <c r="M82" s="136"/>
      <c r="N82" s="136"/>
      <c r="O82" s="136"/>
      <c r="P82" s="131"/>
      <c r="Q82" s="128"/>
      <c r="R82" s="128"/>
      <c r="S82" s="128"/>
    </row>
    <row r="83" spans="1:19" s="164" customFormat="1" ht="12" customHeight="1">
      <c r="A83" s="137"/>
      <c r="B83" s="133"/>
      <c r="C83" s="138"/>
      <c r="D83" s="138"/>
      <c r="E83" s="138"/>
      <c r="F83" s="138"/>
      <c r="G83" s="138"/>
      <c r="H83" s="139"/>
      <c r="I83" s="140"/>
      <c r="J83" s="140"/>
      <c r="L83" s="136"/>
      <c r="M83" s="136"/>
      <c r="N83" s="136"/>
      <c r="O83" s="136"/>
      <c r="P83" s="131"/>
      <c r="Q83" s="128"/>
      <c r="R83" s="128"/>
      <c r="S83" s="128"/>
    </row>
    <row r="84" spans="1:19" s="164" customFormat="1" ht="12" customHeight="1">
      <c r="A84" s="137"/>
      <c r="B84" s="133"/>
      <c r="C84" s="138"/>
      <c r="D84" s="138"/>
      <c r="E84" s="138"/>
      <c r="F84" s="138"/>
      <c r="G84" s="138"/>
      <c r="H84" s="139"/>
      <c r="I84" s="140"/>
      <c r="J84" s="140"/>
      <c r="L84" s="136"/>
      <c r="M84" s="136"/>
      <c r="N84" s="136"/>
      <c r="O84" s="136"/>
      <c r="P84" s="131"/>
      <c r="Q84" s="128"/>
      <c r="R84" s="128"/>
      <c r="S84" s="128"/>
    </row>
    <row r="85" spans="1:19" s="164" customFormat="1" ht="12" customHeight="1">
      <c r="A85" s="137"/>
      <c r="B85" s="133"/>
      <c r="C85" s="138"/>
      <c r="D85" s="138"/>
      <c r="E85" s="138"/>
      <c r="F85" s="138"/>
      <c r="G85" s="138"/>
      <c r="H85" s="139"/>
      <c r="I85" s="140"/>
      <c r="J85" s="140"/>
      <c r="L85" s="136"/>
      <c r="M85" s="136"/>
      <c r="N85" s="136"/>
      <c r="O85" s="136"/>
      <c r="P85" s="131"/>
      <c r="Q85" s="128"/>
      <c r="R85" s="128"/>
      <c r="S85" s="128"/>
    </row>
    <row r="86" spans="1:19" s="164" customFormat="1" ht="12" customHeight="1">
      <c r="A86" s="137"/>
      <c r="B86" s="133"/>
      <c r="C86" s="138"/>
      <c r="D86" s="138"/>
      <c r="E86" s="138"/>
      <c r="F86" s="138"/>
      <c r="G86" s="138"/>
      <c r="H86" s="139"/>
      <c r="I86" s="140"/>
      <c r="J86" s="140"/>
      <c r="L86" s="136"/>
      <c r="M86" s="136"/>
      <c r="N86" s="136"/>
      <c r="O86" s="136"/>
      <c r="P86" s="131"/>
      <c r="Q86" s="128"/>
      <c r="R86" s="128"/>
      <c r="S86" s="128"/>
    </row>
    <row r="87" spans="1:19" s="164" customFormat="1" ht="12" customHeight="1">
      <c r="A87" s="137"/>
      <c r="B87" s="133"/>
      <c r="C87" s="138"/>
      <c r="D87" s="138"/>
      <c r="E87" s="138"/>
      <c r="F87" s="138"/>
      <c r="G87" s="138"/>
      <c r="H87" s="139"/>
      <c r="I87" s="140"/>
      <c r="J87" s="140"/>
      <c r="L87" s="136"/>
      <c r="M87" s="136"/>
      <c r="N87" s="136"/>
      <c r="O87" s="136"/>
      <c r="P87" s="131"/>
      <c r="Q87" s="128"/>
      <c r="R87" s="128"/>
      <c r="S87" s="128"/>
    </row>
    <row r="88" spans="1:19" s="164" customFormat="1" ht="12" customHeight="1">
      <c r="A88" s="137"/>
      <c r="B88" s="133"/>
      <c r="C88" s="138"/>
      <c r="D88" s="138"/>
      <c r="E88" s="138"/>
      <c r="F88" s="138"/>
      <c r="G88" s="138"/>
      <c r="H88" s="139"/>
      <c r="I88" s="140"/>
      <c r="J88" s="140"/>
      <c r="L88" s="136"/>
      <c r="M88" s="136"/>
      <c r="N88" s="136"/>
      <c r="O88" s="136"/>
      <c r="P88" s="131"/>
      <c r="Q88" s="128"/>
      <c r="R88" s="128"/>
      <c r="S88" s="128"/>
    </row>
    <row r="89" spans="1:19" s="164" customFormat="1" ht="12" customHeight="1">
      <c r="A89" s="137"/>
      <c r="B89" s="133"/>
      <c r="C89" s="138"/>
      <c r="D89" s="138"/>
      <c r="E89" s="138"/>
      <c r="F89" s="138"/>
      <c r="G89" s="138"/>
      <c r="H89" s="139"/>
      <c r="I89" s="140"/>
      <c r="J89" s="140"/>
      <c r="L89" s="136"/>
      <c r="M89" s="136"/>
      <c r="N89" s="136"/>
      <c r="O89" s="136"/>
      <c r="P89" s="131"/>
      <c r="Q89" s="128"/>
      <c r="R89" s="128"/>
      <c r="S89" s="128"/>
    </row>
    <row r="90" spans="1:19" s="164" customFormat="1" ht="12" customHeight="1">
      <c r="A90" s="137"/>
      <c r="B90" s="133"/>
      <c r="C90" s="138"/>
      <c r="D90" s="138"/>
      <c r="E90" s="138"/>
      <c r="F90" s="138"/>
      <c r="G90" s="138"/>
      <c r="H90" s="139"/>
      <c r="I90" s="140"/>
      <c r="J90" s="140"/>
      <c r="L90" s="136"/>
      <c r="M90" s="136"/>
      <c r="N90" s="136"/>
      <c r="O90" s="136"/>
      <c r="P90" s="131"/>
      <c r="Q90" s="128"/>
      <c r="R90" s="128"/>
      <c r="S90" s="128"/>
    </row>
    <row r="91" spans="1:19" s="164" customFormat="1" ht="12" customHeight="1">
      <c r="A91" s="137"/>
      <c r="B91" s="133"/>
      <c r="C91" s="138"/>
      <c r="D91" s="138"/>
      <c r="E91" s="138"/>
      <c r="F91" s="138"/>
      <c r="G91" s="138"/>
      <c r="H91" s="139"/>
      <c r="I91" s="140"/>
      <c r="J91" s="140"/>
      <c r="L91" s="136"/>
      <c r="M91" s="136"/>
      <c r="N91" s="136"/>
      <c r="O91" s="136"/>
      <c r="P91" s="131"/>
      <c r="Q91" s="128"/>
      <c r="R91" s="128"/>
      <c r="S91" s="128"/>
    </row>
    <row r="92" spans="1:19" s="164" customFormat="1" ht="12" customHeight="1">
      <c r="A92" s="137"/>
      <c r="B92" s="133"/>
      <c r="C92" s="138"/>
      <c r="D92" s="138"/>
      <c r="E92" s="138"/>
      <c r="F92" s="138"/>
      <c r="G92" s="138"/>
      <c r="H92" s="139"/>
      <c r="I92" s="140"/>
      <c r="J92" s="140"/>
      <c r="L92" s="136"/>
      <c r="M92" s="136"/>
      <c r="N92" s="136"/>
      <c r="O92" s="136"/>
      <c r="P92" s="131"/>
      <c r="Q92" s="128"/>
      <c r="R92" s="128"/>
      <c r="S92" s="128"/>
    </row>
    <row r="93" spans="1:19" s="164" customFormat="1" ht="12" customHeight="1">
      <c r="A93" s="137"/>
      <c r="B93" s="133"/>
      <c r="C93" s="138"/>
      <c r="D93" s="138"/>
      <c r="E93" s="138"/>
      <c r="F93" s="138"/>
      <c r="G93" s="138"/>
      <c r="H93" s="139"/>
      <c r="I93" s="140"/>
      <c r="J93" s="140"/>
      <c r="L93" s="136"/>
      <c r="M93" s="136"/>
      <c r="N93" s="136"/>
      <c r="O93" s="136"/>
      <c r="P93" s="131"/>
      <c r="Q93" s="128"/>
      <c r="R93" s="128"/>
      <c r="S93" s="128"/>
    </row>
    <row r="94" spans="1:19" s="164" customFormat="1" ht="12" customHeight="1">
      <c r="A94" s="137"/>
      <c r="B94" s="133"/>
      <c r="C94" s="138"/>
      <c r="D94" s="138"/>
      <c r="E94" s="138"/>
      <c r="F94" s="138"/>
      <c r="G94" s="138"/>
      <c r="H94" s="139"/>
      <c r="I94" s="140"/>
      <c r="J94" s="140"/>
      <c r="L94" s="136"/>
      <c r="M94" s="136"/>
      <c r="N94" s="136"/>
      <c r="O94" s="136"/>
      <c r="P94" s="131"/>
      <c r="Q94" s="128"/>
      <c r="R94" s="128"/>
      <c r="S94" s="128"/>
    </row>
    <row r="95" spans="1:19" s="164" customFormat="1" ht="12" customHeight="1">
      <c r="A95" s="137"/>
      <c r="B95" s="133"/>
      <c r="C95" s="138"/>
      <c r="D95" s="138"/>
      <c r="E95" s="138"/>
      <c r="F95" s="138"/>
      <c r="G95" s="138"/>
      <c r="H95" s="139"/>
      <c r="I95" s="140"/>
      <c r="J95" s="140"/>
      <c r="L95" s="136"/>
      <c r="M95" s="136"/>
      <c r="N95" s="136"/>
      <c r="O95" s="136"/>
      <c r="P95" s="131"/>
      <c r="Q95" s="128"/>
      <c r="R95" s="128"/>
      <c r="S95" s="128"/>
    </row>
    <row r="96" spans="1:19" s="164" customFormat="1" ht="12" customHeight="1">
      <c r="A96" s="137"/>
      <c r="B96" s="133"/>
      <c r="C96" s="138"/>
      <c r="D96" s="138"/>
      <c r="E96" s="138"/>
      <c r="F96" s="138"/>
      <c r="G96" s="138"/>
      <c r="H96" s="139"/>
      <c r="I96" s="140"/>
      <c r="J96" s="140"/>
      <c r="L96" s="136"/>
      <c r="M96" s="136"/>
      <c r="N96" s="136"/>
      <c r="O96" s="136"/>
      <c r="P96" s="131"/>
      <c r="Q96" s="128"/>
      <c r="R96" s="128"/>
      <c r="S96" s="128"/>
    </row>
    <row r="97" spans="1:19" s="164" customFormat="1" ht="12" customHeight="1">
      <c r="A97" s="137"/>
      <c r="B97" s="133"/>
      <c r="C97" s="138"/>
      <c r="D97" s="138"/>
      <c r="E97" s="138"/>
      <c r="F97" s="138"/>
      <c r="G97" s="138"/>
      <c r="H97" s="139"/>
      <c r="I97" s="140"/>
      <c r="J97" s="140"/>
      <c r="L97" s="136"/>
      <c r="M97" s="136"/>
      <c r="N97" s="136"/>
      <c r="O97" s="136"/>
      <c r="P97" s="131"/>
      <c r="Q97" s="128"/>
      <c r="R97" s="128"/>
      <c r="S97" s="128"/>
    </row>
    <row r="98" spans="1:19" s="164" customFormat="1" ht="12" customHeight="1">
      <c r="A98" s="137"/>
      <c r="B98" s="133"/>
      <c r="C98" s="138"/>
      <c r="D98" s="138"/>
      <c r="E98" s="138"/>
      <c r="F98" s="138"/>
      <c r="G98" s="138"/>
      <c r="H98" s="139"/>
      <c r="I98" s="140"/>
      <c r="J98" s="140"/>
      <c r="L98" s="136"/>
      <c r="M98" s="136"/>
      <c r="N98" s="136"/>
      <c r="O98" s="136"/>
      <c r="P98" s="131"/>
      <c r="Q98" s="128"/>
      <c r="R98" s="128"/>
      <c r="S98" s="128"/>
    </row>
    <row r="99" spans="1:19" s="164" customFormat="1" ht="12" customHeight="1">
      <c r="A99" s="137"/>
      <c r="B99" s="133"/>
      <c r="C99" s="138"/>
      <c r="D99" s="138"/>
      <c r="E99" s="138"/>
      <c r="F99" s="138"/>
      <c r="G99" s="138"/>
      <c r="H99" s="139"/>
      <c r="I99" s="140"/>
      <c r="J99" s="140"/>
      <c r="L99" s="136"/>
      <c r="M99" s="136"/>
      <c r="N99" s="136"/>
      <c r="O99" s="136"/>
      <c r="P99" s="131"/>
      <c r="Q99" s="128"/>
      <c r="R99" s="128"/>
      <c r="S99" s="128"/>
    </row>
    <row r="100" spans="1:19" s="164" customFormat="1" ht="12" customHeight="1">
      <c r="A100" s="137"/>
      <c r="B100" s="133"/>
      <c r="C100" s="138"/>
      <c r="D100" s="138"/>
      <c r="E100" s="138"/>
      <c r="F100" s="138"/>
      <c r="G100" s="138"/>
      <c r="H100" s="139"/>
      <c r="I100" s="140"/>
      <c r="J100" s="140"/>
      <c r="L100" s="136"/>
      <c r="M100" s="136"/>
      <c r="N100" s="136"/>
      <c r="O100" s="136"/>
      <c r="P100" s="131"/>
      <c r="Q100" s="128"/>
      <c r="R100" s="128"/>
      <c r="S100" s="128"/>
    </row>
    <row r="101" spans="1:19" s="164" customFormat="1" ht="12" customHeight="1">
      <c r="A101" s="137"/>
      <c r="B101" s="133"/>
      <c r="C101" s="138"/>
      <c r="D101" s="138"/>
      <c r="E101" s="138"/>
      <c r="F101" s="138"/>
      <c r="G101" s="138"/>
      <c r="H101" s="139"/>
      <c r="I101" s="140"/>
      <c r="J101" s="140"/>
      <c r="L101" s="136"/>
      <c r="M101" s="136"/>
      <c r="N101" s="136"/>
      <c r="O101" s="136"/>
      <c r="P101" s="131"/>
      <c r="Q101" s="128"/>
      <c r="R101" s="128"/>
      <c r="S101" s="128"/>
    </row>
    <row r="102" spans="1:19" s="164" customFormat="1" ht="12" customHeight="1">
      <c r="A102" s="137"/>
      <c r="B102" s="133"/>
      <c r="C102" s="138"/>
      <c r="D102" s="138"/>
      <c r="E102" s="138"/>
      <c r="F102" s="138"/>
      <c r="G102" s="138"/>
      <c r="H102" s="139"/>
      <c r="I102" s="140"/>
      <c r="J102" s="140"/>
      <c r="L102" s="136"/>
      <c r="M102" s="136"/>
      <c r="N102" s="136"/>
      <c r="O102" s="136"/>
      <c r="P102" s="131"/>
      <c r="Q102" s="128"/>
      <c r="R102" s="128"/>
      <c r="S102" s="128"/>
    </row>
    <row r="103" spans="1:19" s="164" customFormat="1" ht="12" customHeight="1">
      <c r="A103" s="137"/>
      <c r="B103" s="133"/>
      <c r="C103" s="138"/>
      <c r="D103" s="138"/>
      <c r="E103" s="138"/>
      <c r="F103" s="138"/>
      <c r="G103" s="138"/>
      <c r="H103" s="139"/>
      <c r="I103" s="140"/>
      <c r="J103" s="140"/>
      <c r="L103" s="136"/>
      <c r="M103" s="136"/>
      <c r="N103" s="136"/>
      <c r="O103" s="136"/>
      <c r="P103" s="131"/>
      <c r="Q103" s="128"/>
      <c r="R103" s="128"/>
      <c r="S103" s="128"/>
    </row>
    <row r="104" spans="1:19" s="164" customFormat="1" ht="12" customHeight="1">
      <c r="A104" s="137"/>
      <c r="B104" s="133"/>
      <c r="C104" s="138"/>
      <c r="D104" s="138"/>
      <c r="E104" s="138"/>
      <c r="F104" s="138"/>
      <c r="G104" s="138"/>
      <c r="H104" s="139"/>
      <c r="I104" s="140"/>
      <c r="J104" s="140"/>
      <c r="L104" s="136"/>
      <c r="M104" s="136"/>
      <c r="N104" s="136"/>
      <c r="O104" s="136"/>
      <c r="P104" s="131"/>
      <c r="Q104" s="128"/>
      <c r="R104" s="128"/>
      <c r="S104" s="128"/>
    </row>
    <row r="105" spans="1:19" s="164" customFormat="1" ht="12" customHeight="1">
      <c r="A105" s="137"/>
      <c r="B105" s="133"/>
      <c r="C105" s="138"/>
      <c r="D105" s="138"/>
      <c r="E105" s="138"/>
      <c r="F105" s="138"/>
      <c r="G105" s="138"/>
      <c r="H105" s="139"/>
      <c r="I105" s="140"/>
      <c r="J105" s="140"/>
      <c r="L105" s="136"/>
      <c r="M105" s="136"/>
      <c r="N105" s="136"/>
      <c r="O105" s="136"/>
      <c r="P105" s="131"/>
      <c r="Q105" s="128"/>
      <c r="R105" s="128"/>
      <c r="S105" s="128"/>
    </row>
    <row r="106" spans="1:19" s="164" customFormat="1" ht="12" customHeight="1">
      <c r="A106" s="137"/>
      <c r="B106" s="133"/>
      <c r="C106" s="138"/>
      <c r="D106" s="138"/>
      <c r="E106" s="138"/>
      <c r="F106" s="138"/>
      <c r="G106" s="138"/>
      <c r="H106" s="139"/>
      <c r="I106" s="140"/>
      <c r="J106" s="140"/>
      <c r="L106" s="136"/>
      <c r="M106" s="136"/>
      <c r="N106" s="136"/>
      <c r="O106" s="136"/>
      <c r="P106" s="131"/>
      <c r="Q106" s="128"/>
      <c r="R106" s="128"/>
      <c r="S106" s="128"/>
    </row>
    <row r="107" spans="1:19" s="164" customFormat="1" ht="12" customHeight="1">
      <c r="A107" s="137"/>
      <c r="B107" s="133"/>
      <c r="C107" s="138"/>
      <c r="D107" s="138"/>
      <c r="E107" s="138"/>
      <c r="F107" s="138"/>
      <c r="G107" s="138"/>
      <c r="H107" s="139"/>
      <c r="I107" s="140"/>
      <c r="J107" s="140"/>
      <c r="L107" s="136"/>
      <c r="M107" s="136"/>
      <c r="N107" s="136"/>
      <c r="O107" s="136"/>
      <c r="P107" s="131"/>
      <c r="Q107" s="128"/>
      <c r="R107" s="128"/>
      <c r="S107" s="128"/>
    </row>
    <row r="108" spans="1:19" s="164" customFormat="1" ht="12" customHeight="1">
      <c r="A108" s="137"/>
      <c r="B108" s="133"/>
      <c r="C108" s="138"/>
      <c r="D108" s="138"/>
      <c r="E108" s="138"/>
      <c r="F108" s="138"/>
      <c r="G108" s="138"/>
      <c r="H108" s="139"/>
      <c r="I108" s="140"/>
      <c r="J108" s="140"/>
      <c r="L108" s="136"/>
      <c r="M108" s="136"/>
      <c r="N108" s="136"/>
      <c r="O108" s="136"/>
      <c r="P108" s="131"/>
      <c r="Q108" s="128"/>
      <c r="R108" s="128"/>
      <c r="S108" s="128"/>
    </row>
    <row r="109" spans="1:19" s="164" customFormat="1" ht="12" customHeight="1">
      <c r="A109" s="137"/>
      <c r="B109" s="133"/>
      <c r="C109" s="138"/>
      <c r="D109" s="138"/>
      <c r="E109" s="138"/>
      <c r="F109" s="138"/>
      <c r="G109" s="138"/>
      <c r="H109" s="139"/>
      <c r="I109" s="140"/>
      <c r="J109" s="140"/>
      <c r="L109" s="136"/>
      <c r="M109" s="136"/>
      <c r="N109" s="136"/>
      <c r="O109" s="136"/>
      <c r="P109" s="131"/>
      <c r="Q109" s="128"/>
      <c r="R109" s="128"/>
      <c r="S109" s="128"/>
    </row>
    <row r="110" spans="1:19" s="164" customFormat="1" ht="12" customHeight="1">
      <c r="A110" s="137"/>
      <c r="B110" s="133"/>
      <c r="C110" s="138"/>
      <c r="D110" s="138"/>
      <c r="E110" s="138"/>
      <c r="F110" s="138"/>
      <c r="G110" s="138"/>
      <c r="H110" s="139"/>
      <c r="I110" s="140"/>
      <c r="J110" s="140"/>
      <c r="L110" s="136"/>
      <c r="M110" s="136"/>
      <c r="N110" s="136"/>
      <c r="O110" s="136"/>
      <c r="P110" s="131"/>
      <c r="Q110" s="128"/>
      <c r="R110" s="128"/>
      <c r="S110" s="128"/>
    </row>
    <row r="111" spans="1:19" s="164" customFormat="1" ht="12" customHeight="1">
      <c r="A111" s="137"/>
      <c r="B111" s="133"/>
      <c r="C111" s="138"/>
      <c r="D111" s="138"/>
      <c r="E111" s="138"/>
      <c r="F111" s="138"/>
      <c r="G111" s="138"/>
      <c r="H111" s="139"/>
      <c r="I111" s="140"/>
      <c r="J111" s="140"/>
      <c r="L111" s="136"/>
      <c r="M111" s="136"/>
      <c r="N111" s="136"/>
      <c r="O111" s="136"/>
      <c r="P111" s="131"/>
      <c r="Q111" s="128"/>
      <c r="R111" s="128"/>
      <c r="S111" s="128"/>
    </row>
    <row r="112" spans="1:19" s="164" customFormat="1" ht="12" customHeight="1">
      <c r="A112" s="137"/>
      <c r="B112" s="133"/>
      <c r="C112" s="138"/>
      <c r="D112" s="138"/>
      <c r="E112" s="138"/>
      <c r="F112" s="138"/>
      <c r="G112" s="138"/>
      <c r="H112" s="139"/>
      <c r="I112" s="140"/>
      <c r="J112" s="140"/>
      <c r="L112" s="136"/>
      <c r="M112" s="136"/>
      <c r="N112" s="136"/>
      <c r="O112" s="136"/>
      <c r="P112" s="131"/>
      <c r="Q112" s="128"/>
      <c r="R112" s="128"/>
      <c r="S112" s="128"/>
    </row>
    <row r="113" spans="1:19" s="164" customFormat="1" ht="12" customHeight="1">
      <c r="A113" s="137"/>
      <c r="B113" s="133"/>
      <c r="C113" s="138"/>
      <c r="D113" s="138"/>
      <c r="E113" s="138"/>
      <c r="F113" s="138"/>
      <c r="G113" s="138"/>
      <c r="H113" s="139"/>
      <c r="I113" s="140"/>
      <c r="J113" s="140"/>
      <c r="L113" s="136"/>
      <c r="M113" s="136"/>
      <c r="N113" s="136"/>
      <c r="O113" s="136"/>
      <c r="P113" s="131"/>
      <c r="Q113" s="128"/>
      <c r="R113" s="128"/>
      <c r="S113" s="128"/>
    </row>
    <row r="114" spans="1:19" s="164" customFormat="1" ht="12" customHeight="1">
      <c r="A114" s="137"/>
      <c r="B114" s="133"/>
      <c r="C114" s="138"/>
      <c r="D114" s="138"/>
      <c r="E114" s="138"/>
      <c r="F114" s="138"/>
      <c r="G114" s="138"/>
      <c r="H114" s="139"/>
      <c r="I114" s="140"/>
      <c r="J114" s="140"/>
      <c r="L114" s="136"/>
      <c r="M114" s="136"/>
      <c r="N114" s="136"/>
      <c r="O114" s="136"/>
      <c r="P114" s="131"/>
      <c r="Q114" s="128"/>
      <c r="R114" s="128"/>
      <c r="S114" s="128"/>
    </row>
    <row r="115" spans="1:19" s="164" customFormat="1" ht="12" customHeight="1">
      <c r="A115" s="137"/>
      <c r="B115" s="133"/>
      <c r="C115" s="138"/>
      <c r="D115" s="138"/>
      <c r="E115" s="138"/>
      <c r="F115" s="138"/>
      <c r="G115" s="138"/>
      <c r="H115" s="139"/>
      <c r="I115" s="140"/>
      <c r="J115" s="140"/>
      <c r="L115" s="136"/>
      <c r="M115" s="136"/>
      <c r="N115" s="136"/>
      <c r="O115" s="136"/>
      <c r="P115" s="131"/>
      <c r="Q115" s="128"/>
      <c r="R115" s="128"/>
      <c r="S115" s="128"/>
    </row>
    <row r="116" spans="1:19" s="164" customFormat="1" ht="12" customHeight="1">
      <c r="A116" s="137"/>
      <c r="B116" s="133"/>
      <c r="C116" s="138"/>
      <c r="D116" s="138"/>
      <c r="E116" s="138"/>
      <c r="F116" s="138"/>
      <c r="G116" s="138"/>
      <c r="H116" s="139"/>
      <c r="I116" s="140"/>
      <c r="J116" s="140"/>
      <c r="L116" s="136"/>
      <c r="M116" s="136"/>
      <c r="N116" s="136"/>
      <c r="O116" s="136"/>
      <c r="P116" s="131"/>
      <c r="Q116" s="128"/>
      <c r="R116" s="128"/>
      <c r="S116" s="128"/>
    </row>
    <row r="117" spans="1:19" s="164" customFormat="1" ht="12" customHeight="1">
      <c r="A117" s="137"/>
      <c r="B117" s="133"/>
      <c r="C117" s="138"/>
      <c r="D117" s="138"/>
      <c r="E117" s="138"/>
      <c r="F117" s="138"/>
      <c r="G117" s="138"/>
      <c r="H117" s="139"/>
      <c r="I117" s="140"/>
      <c r="J117" s="140"/>
      <c r="L117" s="136"/>
      <c r="M117" s="136"/>
      <c r="N117" s="136"/>
      <c r="O117" s="136"/>
      <c r="P117" s="131"/>
      <c r="Q117" s="128"/>
      <c r="R117" s="128"/>
      <c r="S117" s="128"/>
    </row>
    <row r="118" spans="1:19" s="164" customFormat="1" ht="12" customHeight="1">
      <c r="A118" s="137"/>
      <c r="B118" s="133"/>
      <c r="C118" s="138"/>
      <c r="D118" s="138"/>
      <c r="E118" s="138"/>
      <c r="F118" s="138"/>
      <c r="G118" s="138"/>
      <c r="H118" s="139"/>
      <c r="I118" s="140"/>
      <c r="J118" s="140"/>
      <c r="L118" s="136"/>
      <c r="M118" s="136"/>
      <c r="N118" s="136"/>
      <c r="O118" s="136"/>
      <c r="P118" s="131"/>
      <c r="Q118" s="128"/>
      <c r="R118" s="128"/>
      <c r="S118" s="128"/>
    </row>
    <row r="119" spans="1:19" s="164" customFormat="1" ht="12" customHeight="1">
      <c r="A119" s="137"/>
      <c r="B119" s="133"/>
      <c r="C119" s="138"/>
      <c r="D119" s="138"/>
      <c r="E119" s="138"/>
      <c r="F119" s="138"/>
      <c r="G119" s="138"/>
      <c r="H119" s="139"/>
      <c r="I119" s="140"/>
      <c r="J119" s="140"/>
      <c r="L119" s="136"/>
      <c r="M119" s="136"/>
      <c r="N119" s="136"/>
      <c r="O119" s="136"/>
      <c r="P119" s="131"/>
      <c r="Q119" s="128"/>
      <c r="R119" s="128"/>
      <c r="S119" s="128"/>
    </row>
    <row r="120" spans="1:19" s="164" customFormat="1" ht="12" customHeight="1">
      <c r="A120" s="137"/>
      <c r="B120" s="133"/>
      <c r="C120" s="138"/>
      <c r="D120" s="138"/>
      <c r="E120" s="138"/>
      <c r="F120" s="138"/>
      <c r="G120" s="138"/>
      <c r="H120" s="139"/>
      <c r="I120" s="140"/>
      <c r="J120" s="140"/>
      <c r="L120" s="136"/>
      <c r="M120" s="136"/>
      <c r="N120" s="136"/>
      <c r="O120" s="136"/>
      <c r="P120" s="131"/>
      <c r="Q120" s="128"/>
      <c r="R120" s="128"/>
      <c r="S120" s="128"/>
    </row>
    <row r="121" spans="1:19" s="164" customFormat="1" ht="12" customHeight="1">
      <c r="A121" s="137"/>
      <c r="B121" s="133"/>
      <c r="C121" s="138"/>
      <c r="D121" s="138"/>
      <c r="E121" s="138"/>
      <c r="F121" s="138"/>
      <c r="G121" s="138"/>
      <c r="H121" s="139"/>
      <c r="I121" s="140"/>
      <c r="J121" s="140"/>
      <c r="L121" s="136"/>
      <c r="M121" s="136"/>
      <c r="N121" s="136"/>
      <c r="O121" s="136"/>
      <c r="P121" s="131"/>
      <c r="Q121" s="128"/>
      <c r="R121" s="128"/>
      <c r="S121" s="128"/>
    </row>
    <row r="122" spans="1:19" s="164" customFormat="1" ht="12" customHeight="1">
      <c r="A122" s="137"/>
      <c r="B122" s="133"/>
      <c r="C122" s="138"/>
      <c r="D122" s="138"/>
      <c r="E122" s="138"/>
      <c r="F122" s="138"/>
      <c r="G122" s="138"/>
      <c r="H122" s="139"/>
      <c r="I122" s="140"/>
      <c r="J122" s="140"/>
      <c r="L122" s="136"/>
      <c r="M122" s="136"/>
      <c r="N122" s="136"/>
      <c r="O122" s="136"/>
      <c r="P122" s="131"/>
      <c r="Q122" s="128"/>
      <c r="R122" s="128"/>
      <c r="S122" s="128"/>
    </row>
    <row r="123" spans="1:19" s="164" customFormat="1" ht="12" customHeight="1">
      <c r="A123" s="137"/>
      <c r="B123" s="133"/>
      <c r="C123" s="138"/>
      <c r="D123" s="138"/>
      <c r="E123" s="138"/>
      <c r="F123" s="138"/>
      <c r="G123" s="138"/>
      <c r="H123" s="139"/>
      <c r="I123" s="140"/>
      <c r="J123" s="140"/>
      <c r="L123" s="136"/>
      <c r="M123" s="136"/>
      <c r="N123" s="136"/>
      <c r="O123" s="136"/>
      <c r="P123" s="131"/>
      <c r="Q123" s="128"/>
      <c r="R123" s="128"/>
      <c r="S123" s="128"/>
    </row>
    <row r="124" spans="1:19" s="164" customFormat="1" ht="12" customHeight="1">
      <c r="A124" s="137"/>
      <c r="B124" s="133"/>
      <c r="C124" s="138"/>
      <c r="D124" s="138"/>
      <c r="E124" s="138"/>
      <c r="F124" s="138"/>
      <c r="G124" s="138"/>
      <c r="H124" s="139"/>
      <c r="I124" s="140"/>
      <c r="J124" s="140"/>
      <c r="L124" s="136"/>
      <c r="M124" s="136"/>
      <c r="N124" s="136"/>
      <c r="O124" s="136"/>
      <c r="P124" s="131"/>
      <c r="Q124" s="128"/>
      <c r="R124" s="128"/>
      <c r="S124" s="128"/>
    </row>
    <row r="125" spans="1:19" s="164" customFormat="1" ht="12" customHeight="1">
      <c r="A125" s="137"/>
      <c r="B125" s="133"/>
      <c r="C125" s="138"/>
      <c r="D125" s="138"/>
      <c r="E125" s="138"/>
      <c r="F125" s="138"/>
      <c r="G125" s="138"/>
      <c r="H125" s="139"/>
      <c r="I125" s="140"/>
      <c r="J125" s="140"/>
      <c r="L125" s="136"/>
      <c r="M125" s="136"/>
      <c r="N125" s="136"/>
      <c r="O125" s="136"/>
      <c r="P125" s="131"/>
      <c r="Q125" s="128"/>
      <c r="R125" s="128"/>
      <c r="S125" s="128"/>
    </row>
    <row r="126" spans="1:19" s="164" customFormat="1" ht="12" customHeight="1">
      <c r="A126" s="137"/>
      <c r="B126" s="133"/>
      <c r="C126" s="138"/>
      <c r="D126" s="138"/>
      <c r="E126" s="138"/>
      <c r="F126" s="138"/>
      <c r="G126" s="138"/>
      <c r="H126" s="139"/>
      <c r="I126" s="140"/>
      <c r="J126" s="140"/>
      <c r="L126" s="136"/>
      <c r="M126" s="136"/>
      <c r="N126" s="136"/>
      <c r="O126" s="136"/>
      <c r="P126" s="131"/>
      <c r="Q126" s="128"/>
      <c r="R126" s="128"/>
      <c r="S126" s="128"/>
    </row>
    <row r="127" spans="1:19" s="164" customFormat="1" ht="12" customHeight="1">
      <c r="A127" s="137"/>
      <c r="B127" s="133"/>
      <c r="C127" s="138"/>
      <c r="D127" s="138"/>
      <c r="E127" s="138"/>
      <c r="F127" s="138"/>
      <c r="G127" s="138"/>
      <c r="H127" s="139"/>
      <c r="I127" s="140"/>
      <c r="J127" s="140"/>
      <c r="L127" s="136"/>
      <c r="M127" s="136"/>
      <c r="N127" s="136"/>
      <c r="O127" s="136"/>
      <c r="P127" s="131"/>
      <c r="Q127" s="128"/>
      <c r="R127" s="128"/>
      <c r="S127" s="128"/>
    </row>
    <row r="128" spans="1:19" s="164" customFormat="1" ht="12" customHeight="1">
      <c r="A128" s="137"/>
      <c r="B128" s="133"/>
      <c r="C128" s="138"/>
      <c r="D128" s="138"/>
      <c r="E128" s="138"/>
      <c r="F128" s="138"/>
      <c r="G128" s="138"/>
      <c r="H128" s="139"/>
      <c r="I128" s="140"/>
      <c r="J128" s="140"/>
      <c r="L128" s="136"/>
      <c r="M128" s="136"/>
      <c r="N128" s="136"/>
      <c r="O128" s="136"/>
      <c r="P128" s="131"/>
      <c r="Q128" s="128"/>
      <c r="R128" s="128"/>
      <c r="S128" s="128"/>
    </row>
  </sheetData>
  <mergeCells count="20">
    <mergeCell ref="E4:E5"/>
    <mergeCell ref="B20:M20"/>
    <mergeCell ref="B13:O13"/>
    <mergeCell ref="B16:H16"/>
    <mergeCell ref="P4:P5"/>
    <mergeCell ref="Q4:Q5"/>
    <mergeCell ref="A11:N11"/>
    <mergeCell ref="Q11:Q12"/>
    <mergeCell ref="A12:N12"/>
    <mergeCell ref="F4:H4"/>
    <mergeCell ref="I4:K4"/>
    <mergeCell ref="L4:L5"/>
    <mergeCell ref="M4:M5"/>
    <mergeCell ref="A4:A5"/>
    <mergeCell ref="Q6:Q10"/>
    <mergeCell ref="N4:N5"/>
    <mergeCell ref="O4:O5"/>
    <mergeCell ref="B4:B5"/>
    <mergeCell ref="C4:C5"/>
    <mergeCell ref="D4:D5"/>
  </mergeCells>
  <phoneticPr fontId="2" type="noConversion"/>
  <pageMargins left="0.74803149606299213" right="0.74803149606299213" top="0.6" bottom="0.6" header="0.51181102362204722" footer="0.51181102362204722"/>
  <pageSetup paperSize="9" scale="62" fitToHeight="3" orientation="landscape" r:id="rId1"/>
  <headerFooter alignWithMargins="0"/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indexed="43"/>
  </sheetPr>
  <dimension ref="A1:S124"/>
  <sheetViews>
    <sheetView view="pageBreakPreview" zoomScale="85" zoomScaleNormal="85" zoomScaleSheetLayoutView="85" workbookViewId="0">
      <pane xSplit="3" topLeftCell="D1" activePane="topRight" state="frozen"/>
      <selection activeCell="J9" sqref="J9"/>
      <selection pane="topRight" activeCell="P6" sqref="P6"/>
    </sheetView>
  </sheetViews>
  <sheetFormatPr defaultRowHeight="12" customHeight="1"/>
  <cols>
    <col min="1" max="1" width="3.77734375" style="137" customWidth="1"/>
    <col min="2" max="2" width="26.5546875" style="133" customWidth="1"/>
    <col min="3" max="3" width="26.77734375" style="133" customWidth="1"/>
    <col min="4" max="4" width="12" style="133" customWidth="1"/>
    <col min="5" max="5" width="9.6640625" style="133" bestFit="1" customWidth="1"/>
    <col min="6" max="7" width="10.33203125" style="133" bestFit="1" customWidth="1"/>
    <col min="8" max="8" width="9.6640625" style="134" bestFit="1" customWidth="1"/>
    <col min="9" max="9" width="10.33203125" style="141" bestFit="1" customWidth="1"/>
    <col min="10" max="10" width="10.109375" style="141" bestFit="1" customWidth="1"/>
    <col min="11" max="11" width="9.5546875" style="164" customWidth="1"/>
    <col min="12" max="12" width="8.44140625" style="136" bestFit="1" customWidth="1"/>
    <col min="13" max="13" width="8.44140625" style="136" customWidth="1"/>
    <col min="14" max="14" width="7.88671875" style="136" customWidth="1"/>
    <col min="15" max="15" width="6.33203125" style="136" customWidth="1"/>
    <col min="16" max="16" width="5.77734375" style="131" customWidth="1"/>
    <col min="17" max="17" width="5.33203125" style="128" customWidth="1"/>
    <col min="18" max="16384" width="8.88671875" style="128"/>
  </cols>
  <sheetData>
    <row r="1" spans="1:19" s="125" customFormat="1" ht="50.25" customHeight="1">
      <c r="A1" s="322"/>
      <c r="B1" s="613" t="s">
        <v>465</v>
      </c>
      <c r="C1" s="327" t="s">
        <v>820</v>
      </c>
      <c r="D1" s="322"/>
      <c r="E1" s="323"/>
      <c r="F1" s="322"/>
      <c r="G1" s="322"/>
      <c r="H1" s="121"/>
      <c r="I1" s="121"/>
      <c r="J1" s="121"/>
      <c r="K1" s="282"/>
      <c r="L1" s="121"/>
      <c r="M1" s="121"/>
      <c r="N1" s="121"/>
      <c r="O1" s="121"/>
      <c r="P1" s="122"/>
      <c r="Q1" s="124"/>
    </row>
    <row r="2" spans="1:19" s="189" customFormat="1" ht="10.5" customHeight="1">
      <c r="A2" s="587"/>
      <c r="B2" s="587"/>
      <c r="C2" s="587"/>
      <c r="D2" s="587"/>
      <c r="E2" s="587"/>
      <c r="F2" s="587"/>
      <c r="G2" s="587"/>
      <c r="H2" s="587"/>
      <c r="I2" s="587"/>
      <c r="J2" s="188"/>
      <c r="K2" s="188"/>
      <c r="L2" s="188"/>
      <c r="M2" s="188"/>
      <c r="N2" s="188"/>
      <c r="O2" s="188"/>
    </row>
    <row r="3" spans="1:19" s="124" customFormat="1" ht="33.75" customHeight="1" thickBot="1">
      <c r="A3" s="322"/>
      <c r="B3" s="323" t="s">
        <v>574</v>
      </c>
      <c r="C3" s="322"/>
      <c r="D3" s="322"/>
      <c r="E3" s="323"/>
      <c r="F3" s="322"/>
      <c r="G3" s="322"/>
      <c r="H3" s="121"/>
      <c r="I3" s="121"/>
      <c r="J3" s="121"/>
      <c r="K3" s="282"/>
      <c r="L3" s="121"/>
      <c r="M3" s="121"/>
      <c r="N3" s="121"/>
      <c r="O3" s="121"/>
      <c r="P3" s="122"/>
    </row>
    <row r="4" spans="1:19" s="126" customFormat="1" ht="33" customHeight="1">
      <c r="A4" s="948" t="s">
        <v>575</v>
      </c>
      <c r="B4" s="957" t="s">
        <v>576</v>
      </c>
      <c r="C4" s="959" t="s">
        <v>577</v>
      </c>
      <c r="D4" s="959" t="s">
        <v>578</v>
      </c>
      <c r="E4" s="955" t="s">
        <v>579</v>
      </c>
      <c r="F4" s="961" t="s">
        <v>580</v>
      </c>
      <c r="G4" s="951"/>
      <c r="H4" s="952"/>
      <c r="I4" s="951" t="s">
        <v>581</v>
      </c>
      <c r="J4" s="951"/>
      <c r="K4" s="952"/>
      <c r="L4" s="953" t="s">
        <v>582</v>
      </c>
      <c r="M4" s="955" t="s">
        <v>583</v>
      </c>
      <c r="N4" s="946" t="s">
        <v>584</v>
      </c>
      <c r="O4" s="946" t="s">
        <v>585</v>
      </c>
      <c r="P4" s="946" t="s">
        <v>586</v>
      </c>
      <c r="Q4" s="941" t="s">
        <v>587</v>
      </c>
    </row>
    <row r="5" spans="1:19" s="126" customFormat="1" ht="33" customHeight="1">
      <c r="A5" s="949"/>
      <c r="B5" s="958"/>
      <c r="C5" s="960"/>
      <c r="D5" s="960"/>
      <c r="E5" s="956"/>
      <c r="F5" s="183" t="s">
        <v>588</v>
      </c>
      <c r="G5" s="183" t="s">
        <v>589</v>
      </c>
      <c r="H5" s="184" t="s">
        <v>590</v>
      </c>
      <c r="I5" s="183" t="s">
        <v>591</v>
      </c>
      <c r="J5" s="183" t="s">
        <v>592</v>
      </c>
      <c r="K5" s="184" t="s">
        <v>593</v>
      </c>
      <c r="L5" s="954"/>
      <c r="M5" s="956"/>
      <c r="N5" s="947"/>
      <c r="O5" s="947"/>
      <c r="P5" s="947"/>
      <c r="Q5" s="942"/>
      <c r="S5" s="575"/>
    </row>
    <row r="6" spans="1:19" s="189" customFormat="1" ht="276">
      <c r="A6" s="191">
        <v>1</v>
      </c>
      <c r="B6" s="775" t="s">
        <v>532</v>
      </c>
      <c r="C6" s="776" t="s">
        <v>3</v>
      </c>
      <c r="D6" s="777" t="s">
        <v>533</v>
      </c>
      <c r="E6" s="780">
        <v>7147.9539999999997</v>
      </c>
      <c r="F6" s="777" t="s">
        <v>0</v>
      </c>
      <c r="G6" s="777" t="s">
        <v>1</v>
      </c>
      <c r="H6" s="778">
        <f>IF(G6-F6+1&gt;=2*365,2*365,G6-F6+1)</f>
        <v>730</v>
      </c>
      <c r="I6" s="777" t="s">
        <v>0</v>
      </c>
      <c r="J6" s="777" t="s">
        <v>1</v>
      </c>
      <c r="K6" s="778">
        <f>IF(J6-I6+1&gt;=2*365,2*365,J6-I6+1)</f>
        <v>730</v>
      </c>
      <c r="L6" s="779" t="s">
        <v>2</v>
      </c>
      <c r="M6" s="781">
        <f>E6-N6</f>
        <v>2898.9539999999997</v>
      </c>
      <c r="N6" s="782">
        <f>701+2138+1165+245</f>
        <v>4249</v>
      </c>
      <c r="O6" s="783">
        <f>N6/(배점기준!$G$9/1000)</f>
        <v>2.8217952302429508</v>
      </c>
      <c r="P6" s="674">
        <f>(IF(N6&lt;231,0,IF(O6&gt;=2.5,3,IF(O6&gt;=2,2,IF(O6&gt;=1.5,1.5,IF(O6&gt;=1,1,IF(O6&gt;=0.5,0.5,0.25)))))))*K6/H6</f>
        <v>3</v>
      </c>
      <c r="Q6" s="784"/>
      <c r="S6" s="575"/>
    </row>
    <row r="7" spans="1:19" s="187" customFormat="1" ht="45" customHeight="1" thickBot="1">
      <c r="A7" s="969" t="s">
        <v>594</v>
      </c>
      <c r="B7" s="970"/>
      <c r="C7" s="970"/>
      <c r="D7" s="970"/>
      <c r="E7" s="970"/>
      <c r="F7" s="970"/>
      <c r="G7" s="970"/>
      <c r="H7" s="970"/>
      <c r="I7" s="970"/>
      <c r="J7" s="970"/>
      <c r="K7" s="970"/>
      <c r="L7" s="970"/>
      <c r="M7" s="970"/>
      <c r="N7" s="970"/>
      <c r="O7" s="653"/>
      <c r="P7" s="353">
        <f>SUM(P6:P6)</f>
        <v>3</v>
      </c>
      <c r="Q7" s="993"/>
    </row>
    <row r="8" spans="1:19" s="189" customFormat="1" ht="45" customHeight="1" thickBot="1">
      <c r="A8" s="971" t="s">
        <v>595</v>
      </c>
      <c r="B8" s="972"/>
      <c r="C8" s="972"/>
      <c r="D8" s="972"/>
      <c r="E8" s="972"/>
      <c r="F8" s="972"/>
      <c r="G8" s="972"/>
      <c r="H8" s="972"/>
      <c r="I8" s="972"/>
      <c r="J8" s="972"/>
      <c r="K8" s="972"/>
      <c r="L8" s="972"/>
      <c r="M8" s="972"/>
      <c r="N8" s="972"/>
      <c r="O8" s="654"/>
      <c r="P8" s="352">
        <f>P7</f>
        <v>3</v>
      </c>
      <c r="Q8" s="994"/>
    </row>
    <row r="9" spans="1:19" s="197" customFormat="1" ht="19.5" customHeight="1">
      <c r="A9" s="195"/>
      <c r="B9" s="963"/>
      <c r="C9" s="963"/>
      <c r="D9" s="963"/>
      <c r="E9" s="963"/>
      <c r="F9" s="963"/>
      <c r="G9" s="963"/>
      <c r="H9" s="963"/>
      <c r="I9" s="963"/>
      <c r="J9" s="963"/>
      <c r="K9" s="963"/>
      <c r="L9" s="963"/>
      <c r="M9" s="963"/>
      <c r="N9" s="963"/>
      <c r="O9" s="963"/>
      <c r="P9" s="196"/>
    </row>
    <row r="10" spans="1:19" s="161" customFormat="1" ht="18.75" customHeight="1">
      <c r="A10" s="250"/>
      <c r="B10" s="160"/>
      <c r="C10" s="160"/>
      <c r="D10" s="160"/>
      <c r="E10" s="160"/>
      <c r="F10" s="160"/>
      <c r="G10" s="160"/>
      <c r="K10" s="324"/>
      <c r="L10" s="162"/>
      <c r="M10" s="162"/>
      <c r="N10" s="162"/>
      <c r="O10" s="162"/>
    </row>
    <row r="11" spans="1:19" s="159" customFormat="1" ht="18.75" customHeight="1">
      <c r="A11" s="250"/>
      <c r="B11" s="160"/>
      <c r="C11" s="160"/>
      <c r="D11" s="160"/>
      <c r="E11" s="160"/>
      <c r="F11" s="163"/>
      <c r="G11" s="163"/>
      <c r="H11" s="163"/>
      <c r="I11" s="163"/>
      <c r="J11" s="163"/>
      <c r="K11" s="161"/>
    </row>
    <row r="12" spans="1:19" s="159" customFormat="1" ht="42.75" customHeight="1">
      <c r="A12" s="250"/>
      <c r="B12" s="962"/>
      <c r="C12" s="962"/>
      <c r="D12" s="962"/>
      <c r="E12" s="962"/>
      <c r="F12" s="962"/>
      <c r="G12" s="962"/>
      <c r="H12" s="962"/>
      <c r="I12" s="163"/>
      <c r="J12" s="163"/>
      <c r="K12" s="161"/>
    </row>
    <row r="13" spans="1:19" s="159" customFormat="1" ht="18.75" customHeight="1">
      <c r="A13" s="250"/>
      <c r="C13" s="160"/>
      <c r="D13" s="160"/>
      <c r="E13" s="160"/>
      <c r="F13" s="163"/>
      <c r="G13" s="163"/>
      <c r="H13" s="163"/>
      <c r="I13" s="163"/>
      <c r="J13" s="163"/>
      <c r="K13" s="161"/>
    </row>
    <row r="14" spans="1:19" s="159" customFormat="1" ht="18.75" customHeight="1">
      <c r="A14" s="250"/>
      <c r="B14" s="160"/>
      <c r="C14" s="160"/>
      <c r="D14" s="160"/>
      <c r="E14" s="160"/>
      <c r="F14" s="163"/>
      <c r="G14" s="163"/>
      <c r="H14" s="163"/>
      <c r="I14" s="163"/>
      <c r="J14" s="163"/>
      <c r="K14" s="161"/>
    </row>
    <row r="15" spans="1:19" s="159" customFormat="1" ht="18.75" customHeight="1">
      <c r="A15" s="250"/>
      <c r="B15" s="160"/>
      <c r="C15" s="160"/>
      <c r="D15" s="160"/>
      <c r="E15" s="160"/>
      <c r="F15" s="160"/>
      <c r="G15" s="160"/>
      <c r="H15" s="161"/>
      <c r="I15" s="163"/>
      <c r="J15" s="163"/>
      <c r="K15" s="161"/>
    </row>
    <row r="16" spans="1:19" s="161" customFormat="1" ht="55.5" customHeight="1">
      <c r="A16" s="250"/>
      <c r="B16" s="950"/>
      <c r="C16" s="950"/>
      <c r="D16" s="950"/>
      <c r="E16" s="950"/>
      <c r="F16" s="950"/>
      <c r="G16" s="950"/>
      <c r="H16" s="950"/>
      <c r="I16" s="950"/>
      <c r="J16" s="950"/>
      <c r="K16" s="950"/>
      <c r="L16" s="950"/>
      <c r="M16" s="950"/>
      <c r="N16" s="162"/>
      <c r="O16" s="162"/>
    </row>
    <row r="17" spans="1:16" s="161" customFormat="1" ht="18.75" customHeight="1">
      <c r="A17" s="250"/>
      <c r="B17" s="160"/>
      <c r="C17" s="160"/>
      <c r="D17" s="160"/>
      <c r="E17" s="160"/>
      <c r="F17" s="160"/>
      <c r="G17" s="160"/>
      <c r="K17" s="324"/>
      <c r="L17" s="162"/>
      <c r="M17" s="162"/>
      <c r="N17" s="162"/>
      <c r="O17" s="162"/>
    </row>
    <row r="18" spans="1:16" s="161" customFormat="1" ht="18.75" customHeight="1">
      <c r="A18" s="250"/>
      <c r="B18" s="166"/>
      <c r="C18" s="166"/>
      <c r="D18" s="166"/>
      <c r="E18" s="166"/>
      <c r="F18" s="160"/>
      <c r="G18" s="160"/>
      <c r="K18" s="324"/>
      <c r="L18" s="162"/>
      <c r="M18" s="162"/>
      <c r="N18" s="162"/>
      <c r="O18" s="162"/>
    </row>
    <row r="19" spans="1:16" s="161" customFormat="1" ht="15" customHeight="1">
      <c r="B19" s="166"/>
      <c r="C19" s="166"/>
      <c r="D19" s="166"/>
      <c r="E19" s="166"/>
      <c r="F19" s="160"/>
      <c r="G19" s="160"/>
      <c r="K19" s="324"/>
      <c r="L19" s="162"/>
      <c r="M19" s="162"/>
      <c r="N19" s="162"/>
      <c r="O19" s="162"/>
    </row>
    <row r="20" spans="1:16" s="161" customFormat="1" ht="15" customHeight="1">
      <c r="B20" s="166"/>
      <c r="C20" s="166"/>
      <c r="D20" s="166"/>
      <c r="E20" s="166"/>
      <c r="F20" s="160"/>
      <c r="G20" s="160"/>
      <c r="K20" s="324"/>
      <c r="L20" s="162"/>
      <c r="M20" s="162"/>
      <c r="N20" s="162"/>
      <c r="O20" s="162"/>
    </row>
    <row r="21" spans="1:16" s="197" customFormat="1" ht="15" customHeight="1">
      <c r="A21" s="160"/>
      <c r="B21" s="160"/>
      <c r="C21" s="160"/>
      <c r="D21" s="160"/>
      <c r="E21" s="160"/>
      <c r="F21" s="198"/>
      <c r="G21" s="198"/>
      <c r="H21" s="161"/>
      <c r="I21" s="161"/>
      <c r="J21" s="161"/>
      <c r="K21" s="211"/>
      <c r="L21" s="199"/>
      <c r="M21" s="199"/>
      <c r="N21" s="199"/>
      <c r="O21" s="199"/>
      <c r="P21" s="200"/>
    </row>
    <row r="22" spans="1:16" ht="15" customHeight="1">
      <c r="B22" s="146"/>
      <c r="C22" s="146"/>
      <c r="D22" s="146"/>
      <c r="E22" s="146"/>
      <c r="F22" s="138"/>
      <c r="G22" s="138"/>
      <c r="H22" s="139"/>
      <c r="I22" s="140"/>
      <c r="J22" s="140"/>
    </row>
    <row r="23" spans="1:16" ht="15" customHeight="1">
      <c r="C23" s="138"/>
      <c r="D23" s="138"/>
      <c r="E23" s="138"/>
      <c r="F23" s="138"/>
      <c r="G23" s="138"/>
      <c r="H23" s="139"/>
      <c r="I23" s="140"/>
      <c r="J23" s="140"/>
    </row>
    <row r="24" spans="1:16" ht="15" customHeight="1">
      <c r="C24" s="138"/>
      <c r="D24" s="138"/>
      <c r="E24" s="138"/>
      <c r="F24" s="138"/>
      <c r="G24" s="138"/>
      <c r="H24" s="139"/>
      <c r="I24" s="140"/>
      <c r="J24" s="140"/>
    </row>
    <row r="25" spans="1:16" ht="12" customHeight="1">
      <c r="C25" s="138"/>
      <c r="D25" s="138"/>
      <c r="E25" s="138"/>
      <c r="F25" s="138"/>
      <c r="G25" s="138"/>
      <c r="H25" s="139"/>
      <c r="I25" s="140"/>
      <c r="J25" s="140"/>
    </row>
    <row r="26" spans="1:16" ht="12" customHeight="1">
      <c r="C26" s="138"/>
      <c r="D26" s="138"/>
      <c r="E26" s="138"/>
      <c r="F26" s="138"/>
      <c r="G26" s="138"/>
      <c r="H26" s="139"/>
      <c r="I26" s="140"/>
      <c r="J26" s="140"/>
    </row>
    <row r="27" spans="1:16" ht="12" customHeight="1">
      <c r="C27" s="138"/>
      <c r="D27" s="138"/>
      <c r="E27" s="138"/>
      <c r="F27" s="138"/>
      <c r="G27" s="138"/>
      <c r="H27" s="139"/>
      <c r="I27" s="140"/>
      <c r="J27" s="140"/>
    </row>
    <row r="28" spans="1:16" ht="12" customHeight="1">
      <c r="C28" s="138"/>
      <c r="D28" s="138"/>
      <c r="E28" s="138"/>
      <c r="F28" s="138"/>
      <c r="G28" s="138"/>
      <c r="H28" s="139"/>
      <c r="I28" s="140"/>
      <c r="J28" s="140"/>
    </row>
    <row r="29" spans="1:16" ht="12" customHeight="1">
      <c r="C29" s="138"/>
      <c r="D29" s="138"/>
      <c r="E29" s="138"/>
      <c r="F29" s="138"/>
      <c r="G29" s="138"/>
      <c r="H29" s="139"/>
      <c r="I29" s="140"/>
      <c r="J29" s="140"/>
    </row>
    <row r="30" spans="1:16" ht="12" customHeight="1">
      <c r="C30" s="138"/>
      <c r="D30" s="138"/>
      <c r="E30" s="138"/>
      <c r="F30" s="138"/>
      <c r="G30" s="138"/>
      <c r="H30" s="139"/>
      <c r="I30" s="140"/>
      <c r="J30" s="140"/>
    </row>
    <row r="31" spans="1:16" ht="12" customHeight="1">
      <c r="C31" s="138"/>
      <c r="D31" s="138"/>
      <c r="E31" s="138"/>
      <c r="F31" s="138"/>
      <c r="G31" s="138"/>
      <c r="H31" s="139"/>
      <c r="I31" s="140"/>
      <c r="J31" s="140"/>
    </row>
    <row r="32" spans="1:16" ht="12" customHeight="1">
      <c r="C32" s="138"/>
      <c r="D32" s="138"/>
      <c r="E32" s="138"/>
      <c r="F32" s="138"/>
      <c r="G32" s="138"/>
      <c r="H32" s="139"/>
      <c r="I32" s="140"/>
      <c r="J32" s="140"/>
    </row>
    <row r="33" spans="1:19" ht="12" customHeight="1">
      <c r="C33" s="138"/>
      <c r="D33" s="138"/>
      <c r="E33" s="138"/>
      <c r="F33" s="138"/>
      <c r="G33" s="138"/>
      <c r="H33" s="139"/>
      <c r="I33" s="140"/>
      <c r="J33" s="140"/>
    </row>
    <row r="34" spans="1:19" ht="12" customHeight="1">
      <c r="C34" s="138"/>
      <c r="D34" s="138"/>
      <c r="E34" s="138"/>
      <c r="F34" s="138"/>
      <c r="G34" s="138"/>
      <c r="H34" s="139"/>
      <c r="I34" s="140"/>
      <c r="J34" s="140"/>
    </row>
    <row r="35" spans="1:19" ht="12" customHeight="1">
      <c r="C35" s="138"/>
      <c r="D35" s="138"/>
      <c r="E35" s="138"/>
      <c r="F35" s="138"/>
      <c r="G35" s="138"/>
      <c r="H35" s="139"/>
      <c r="I35" s="140"/>
      <c r="J35" s="140"/>
    </row>
    <row r="36" spans="1:19" s="164" customFormat="1" ht="12" customHeight="1">
      <c r="A36" s="137"/>
      <c r="B36" s="133"/>
      <c r="C36" s="138"/>
      <c r="D36" s="138"/>
      <c r="E36" s="138"/>
      <c r="F36" s="138"/>
      <c r="G36" s="138"/>
      <c r="H36" s="139"/>
      <c r="I36" s="140"/>
      <c r="J36" s="140"/>
      <c r="L36" s="136"/>
      <c r="M36" s="136"/>
      <c r="N36" s="136"/>
      <c r="O36" s="136"/>
      <c r="P36" s="131"/>
      <c r="Q36" s="128"/>
      <c r="R36" s="128"/>
      <c r="S36" s="128"/>
    </row>
    <row r="37" spans="1:19" s="164" customFormat="1" ht="12" customHeight="1">
      <c r="A37" s="137"/>
      <c r="B37" s="133"/>
      <c r="C37" s="138"/>
      <c r="D37" s="138"/>
      <c r="E37" s="138"/>
      <c r="F37" s="138"/>
      <c r="G37" s="138"/>
      <c r="H37" s="139"/>
      <c r="I37" s="140"/>
      <c r="J37" s="140"/>
      <c r="L37" s="136"/>
      <c r="M37" s="136"/>
      <c r="N37" s="136"/>
      <c r="O37" s="136"/>
      <c r="P37" s="131"/>
      <c r="Q37" s="128"/>
      <c r="R37" s="128"/>
      <c r="S37" s="128"/>
    </row>
    <row r="38" spans="1:19" s="164" customFormat="1" ht="12" customHeight="1">
      <c r="A38" s="137"/>
      <c r="B38" s="133"/>
      <c r="C38" s="138"/>
      <c r="D38" s="138"/>
      <c r="E38" s="138"/>
      <c r="F38" s="138"/>
      <c r="G38" s="138"/>
      <c r="H38" s="139"/>
      <c r="I38" s="140"/>
      <c r="J38" s="140"/>
      <c r="L38" s="136"/>
      <c r="M38" s="136"/>
      <c r="N38" s="136"/>
      <c r="O38" s="136"/>
      <c r="P38" s="131"/>
      <c r="Q38" s="128"/>
      <c r="R38" s="128"/>
      <c r="S38" s="128"/>
    </row>
    <row r="39" spans="1:19" s="164" customFormat="1" ht="12" customHeight="1">
      <c r="A39" s="137"/>
      <c r="B39" s="133"/>
      <c r="C39" s="138"/>
      <c r="D39" s="138"/>
      <c r="E39" s="138"/>
      <c r="F39" s="138"/>
      <c r="G39" s="138"/>
      <c r="H39" s="139"/>
      <c r="I39" s="140"/>
      <c r="J39" s="140"/>
      <c r="L39" s="136"/>
      <c r="M39" s="136"/>
      <c r="N39" s="136"/>
      <c r="O39" s="136"/>
      <c r="P39" s="131"/>
      <c r="Q39" s="128"/>
      <c r="R39" s="128"/>
      <c r="S39" s="128"/>
    </row>
    <row r="40" spans="1:19" s="164" customFormat="1" ht="12" customHeight="1">
      <c r="A40" s="137"/>
      <c r="B40" s="133"/>
      <c r="C40" s="138"/>
      <c r="D40" s="138"/>
      <c r="E40" s="138"/>
      <c r="F40" s="138"/>
      <c r="G40" s="138"/>
      <c r="H40" s="139"/>
      <c r="I40" s="140"/>
      <c r="J40" s="140"/>
      <c r="L40" s="136"/>
      <c r="M40" s="136"/>
      <c r="N40" s="136"/>
      <c r="O40" s="136"/>
      <c r="P40" s="131"/>
      <c r="Q40" s="128"/>
      <c r="R40" s="128"/>
      <c r="S40" s="128"/>
    </row>
    <row r="41" spans="1:19" s="164" customFormat="1" ht="12" customHeight="1">
      <c r="A41" s="137"/>
      <c r="B41" s="133"/>
      <c r="C41" s="138"/>
      <c r="D41" s="138"/>
      <c r="E41" s="138"/>
      <c r="F41" s="138"/>
      <c r="G41" s="138"/>
      <c r="H41" s="139"/>
      <c r="I41" s="140"/>
      <c r="J41" s="140"/>
      <c r="L41" s="136"/>
      <c r="M41" s="136"/>
      <c r="N41" s="136"/>
      <c r="O41" s="136"/>
      <c r="P41" s="131"/>
      <c r="Q41" s="128"/>
      <c r="R41" s="128"/>
      <c r="S41" s="128"/>
    </row>
    <row r="42" spans="1:19" s="164" customFormat="1" ht="12" customHeight="1">
      <c r="A42" s="137"/>
      <c r="B42" s="133"/>
      <c r="C42" s="138"/>
      <c r="D42" s="138"/>
      <c r="E42" s="138"/>
      <c r="F42" s="138"/>
      <c r="G42" s="138"/>
      <c r="H42" s="139"/>
      <c r="I42" s="140"/>
      <c r="J42" s="140"/>
      <c r="L42" s="136"/>
      <c r="M42" s="136"/>
      <c r="N42" s="136"/>
      <c r="O42" s="136"/>
      <c r="P42" s="131"/>
      <c r="Q42" s="128"/>
      <c r="R42" s="128"/>
      <c r="S42" s="128"/>
    </row>
    <row r="43" spans="1:19" s="164" customFormat="1" ht="12" customHeight="1">
      <c r="A43" s="137"/>
      <c r="B43" s="133"/>
      <c r="C43" s="138"/>
      <c r="D43" s="138"/>
      <c r="E43" s="138"/>
      <c r="F43" s="138"/>
      <c r="G43" s="138"/>
      <c r="H43" s="139"/>
      <c r="I43" s="140"/>
      <c r="J43" s="140"/>
      <c r="L43" s="136"/>
      <c r="M43" s="136"/>
      <c r="N43" s="136"/>
      <c r="O43" s="136"/>
      <c r="P43" s="131"/>
      <c r="Q43" s="128"/>
      <c r="R43" s="128"/>
      <c r="S43" s="128"/>
    </row>
    <row r="44" spans="1:19" s="164" customFormat="1" ht="12" customHeight="1">
      <c r="A44" s="137"/>
      <c r="B44" s="133"/>
      <c r="C44" s="138"/>
      <c r="D44" s="138"/>
      <c r="E44" s="138"/>
      <c r="F44" s="138"/>
      <c r="G44" s="138"/>
      <c r="H44" s="139"/>
      <c r="I44" s="140"/>
      <c r="J44" s="140"/>
      <c r="L44" s="136"/>
      <c r="M44" s="136"/>
      <c r="N44" s="136"/>
      <c r="O44" s="136"/>
      <c r="P44" s="131"/>
      <c r="Q44" s="128"/>
      <c r="R44" s="128"/>
      <c r="S44" s="128"/>
    </row>
    <row r="45" spans="1:19" s="164" customFormat="1" ht="12" customHeight="1">
      <c r="A45" s="137"/>
      <c r="B45" s="133"/>
      <c r="C45" s="138"/>
      <c r="D45" s="138"/>
      <c r="E45" s="138"/>
      <c r="F45" s="138"/>
      <c r="G45" s="138"/>
      <c r="H45" s="139"/>
      <c r="I45" s="140"/>
      <c r="J45" s="140"/>
      <c r="L45" s="136"/>
      <c r="M45" s="136"/>
      <c r="N45" s="136"/>
      <c r="O45" s="136"/>
      <c r="P45" s="131"/>
      <c r="Q45" s="128"/>
      <c r="R45" s="128"/>
      <c r="S45" s="128"/>
    </row>
    <row r="46" spans="1:19" s="164" customFormat="1" ht="12" customHeight="1">
      <c r="A46" s="137"/>
      <c r="B46" s="133"/>
      <c r="C46" s="138"/>
      <c r="D46" s="138"/>
      <c r="E46" s="138"/>
      <c r="F46" s="138"/>
      <c r="G46" s="138"/>
      <c r="H46" s="139"/>
      <c r="I46" s="140"/>
      <c r="J46" s="140"/>
      <c r="L46" s="136"/>
      <c r="M46" s="136"/>
      <c r="N46" s="136"/>
      <c r="O46" s="136"/>
      <c r="P46" s="131"/>
      <c r="Q46" s="128"/>
      <c r="R46" s="128"/>
      <c r="S46" s="128"/>
    </row>
    <row r="47" spans="1:19" s="164" customFormat="1" ht="12" customHeight="1">
      <c r="A47" s="137"/>
      <c r="B47" s="133"/>
      <c r="C47" s="138"/>
      <c r="D47" s="138"/>
      <c r="E47" s="138"/>
      <c r="F47" s="138"/>
      <c r="G47" s="138"/>
      <c r="H47" s="139"/>
      <c r="I47" s="140"/>
      <c r="J47" s="140"/>
      <c r="L47" s="136"/>
      <c r="M47" s="136"/>
      <c r="N47" s="136"/>
      <c r="O47" s="136"/>
      <c r="P47" s="131"/>
      <c r="Q47" s="128"/>
      <c r="R47" s="128"/>
      <c r="S47" s="128"/>
    </row>
    <row r="48" spans="1:19" s="164" customFormat="1" ht="12" customHeight="1">
      <c r="A48" s="137"/>
      <c r="B48" s="133"/>
      <c r="C48" s="138"/>
      <c r="D48" s="138"/>
      <c r="E48" s="138"/>
      <c r="F48" s="138"/>
      <c r="G48" s="138"/>
      <c r="H48" s="139"/>
      <c r="I48" s="140"/>
      <c r="J48" s="140"/>
      <c r="L48" s="136"/>
      <c r="M48" s="136"/>
      <c r="N48" s="136"/>
      <c r="O48" s="136"/>
      <c r="P48" s="131"/>
      <c r="Q48" s="128"/>
      <c r="R48" s="128"/>
      <c r="S48" s="128"/>
    </row>
    <row r="49" spans="1:19" s="164" customFormat="1" ht="12" customHeight="1">
      <c r="A49" s="137"/>
      <c r="B49" s="133"/>
      <c r="C49" s="138"/>
      <c r="D49" s="138"/>
      <c r="E49" s="138"/>
      <c r="F49" s="138"/>
      <c r="G49" s="138"/>
      <c r="H49" s="139"/>
      <c r="I49" s="140"/>
      <c r="J49" s="140"/>
      <c r="L49" s="136"/>
      <c r="M49" s="136"/>
      <c r="N49" s="136"/>
      <c r="O49" s="136"/>
      <c r="P49" s="131"/>
      <c r="Q49" s="128"/>
      <c r="R49" s="128"/>
      <c r="S49" s="128"/>
    </row>
    <row r="50" spans="1:19" s="164" customFormat="1" ht="12" customHeight="1">
      <c r="A50" s="137"/>
      <c r="B50" s="133"/>
      <c r="C50" s="138"/>
      <c r="D50" s="138"/>
      <c r="E50" s="138"/>
      <c r="F50" s="138"/>
      <c r="G50" s="138"/>
      <c r="H50" s="139"/>
      <c r="I50" s="140"/>
      <c r="J50" s="140"/>
      <c r="L50" s="136"/>
      <c r="M50" s="136"/>
      <c r="N50" s="136"/>
      <c r="O50" s="136"/>
      <c r="P50" s="131"/>
      <c r="Q50" s="128"/>
      <c r="R50" s="128"/>
      <c r="S50" s="128"/>
    </row>
    <row r="51" spans="1:19" s="164" customFormat="1" ht="12" customHeight="1">
      <c r="A51" s="137"/>
      <c r="B51" s="133"/>
      <c r="C51" s="138"/>
      <c r="D51" s="138"/>
      <c r="E51" s="138"/>
      <c r="F51" s="138"/>
      <c r="G51" s="138"/>
      <c r="H51" s="139"/>
      <c r="I51" s="140"/>
      <c r="J51" s="140"/>
      <c r="L51" s="136"/>
      <c r="M51" s="136"/>
      <c r="N51" s="136"/>
      <c r="O51" s="136"/>
      <c r="P51" s="131"/>
      <c r="Q51" s="128"/>
      <c r="R51" s="128"/>
      <c r="S51" s="128"/>
    </row>
    <row r="52" spans="1:19" s="164" customFormat="1" ht="12" customHeight="1">
      <c r="A52" s="137"/>
      <c r="B52" s="133"/>
      <c r="C52" s="138"/>
      <c r="D52" s="138"/>
      <c r="E52" s="138"/>
      <c r="F52" s="138"/>
      <c r="G52" s="138"/>
      <c r="H52" s="139"/>
      <c r="I52" s="140"/>
      <c r="J52" s="140"/>
      <c r="L52" s="136"/>
      <c r="M52" s="136"/>
      <c r="N52" s="136"/>
      <c r="O52" s="136"/>
      <c r="P52" s="131"/>
      <c r="Q52" s="128"/>
      <c r="R52" s="128"/>
      <c r="S52" s="128"/>
    </row>
    <row r="53" spans="1:19" s="164" customFormat="1" ht="12" customHeight="1">
      <c r="A53" s="137"/>
      <c r="B53" s="133"/>
      <c r="C53" s="138"/>
      <c r="D53" s="138"/>
      <c r="E53" s="138"/>
      <c r="F53" s="138"/>
      <c r="G53" s="138"/>
      <c r="H53" s="139"/>
      <c r="I53" s="140"/>
      <c r="J53" s="140"/>
      <c r="L53" s="136"/>
      <c r="M53" s="136"/>
      <c r="N53" s="136"/>
      <c r="O53" s="136"/>
      <c r="P53" s="131"/>
      <c r="Q53" s="128"/>
      <c r="R53" s="128"/>
      <c r="S53" s="128"/>
    </row>
    <row r="54" spans="1:19" s="164" customFormat="1" ht="12" customHeight="1">
      <c r="A54" s="137"/>
      <c r="B54" s="133"/>
      <c r="C54" s="138"/>
      <c r="D54" s="138"/>
      <c r="E54" s="138"/>
      <c r="F54" s="138"/>
      <c r="G54" s="138"/>
      <c r="H54" s="139"/>
      <c r="I54" s="140"/>
      <c r="J54" s="140"/>
      <c r="L54" s="136"/>
      <c r="M54" s="136"/>
      <c r="N54" s="136"/>
      <c r="O54" s="136"/>
      <c r="P54" s="131"/>
      <c r="Q54" s="128"/>
      <c r="R54" s="128"/>
      <c r="S54" s="128"/>
    </row>
    <row r="55" spans="1:19" s="164" customFormat="1" ht="12" customHeight="1">
      <c r="A55" s="137"/>
      <c r="B55" s="133"/>
      <c r="C55" s="138"/>
      <c r="D55" s="138"/>
      <c r="E55" s="138"/>
      <c r="F55" s="138"/>
      <c r="G55" s="138"/>
      <c r="H55" s="139"/>
      <c r="I55" s="140"/>
      <c r="J55" s="140"/>
      <c r="L55" s="136"/>
      <c r="M55" s="136"/>
      <c r="N55" s="136"/>
      <c r="O55" s="136"/>
      <c r="P55" s="131"/>
      <c r="Q55" s="128"/>
      <c r="R55" s="128"/>
      <c r="S55" s="128"/>
    </row>
    <row r="56" spans="1:19" s="164" customFormat="1" ht="12" customHeight="1">
      <c r="A56" s="137"/>
      <c r="B56" s="133"/>
      <c r="C56" s="138"/>
      <c r="D56" s="138"/>
      <c r="E56" s="138"/>
      <c r="F56" s="138"/>
      <c r="G56" s="138"/>
      <c r="H56" s="139"/>
      <c r="I56" s="140"/>
      <c r="J56" s="140"/>
      <c r="L56" s="136"/>
      <c r="M56" s="136"/>
      <c r="N56" s="136"/>
      <c r="O56" s="136"/>
      <c r="P56" s="131"/>
      <c r="Q56" s="128"/>
      <c r="R56" s="128"/>
      <c r="S56" s="128"/>
    </row>
    <row r="57" spans="1:19" s="164" customFormat="1" ht="12" customHeight="1">
      <c r="A57" s="137"/>
      <c r="B57" s="133"/>
      <c r="C57" s="138"/>
      <c r="D57" s="138"/>
      <c r="E57" s="138"/>
      <c r="F57" s="138"/>
      <c r="G57" s="138"/>
      <c r="H57" s="139"/>
      <c r="I57" s="140"/>
      <c r="J57" s="140"/>
      <c r="L57" s="136"/>
      <c r="M57" s="136"/>
      <c r="N57" s="136"/>
      <c r="O57" s="136"/>
      <c r="P57" s="131"/>
      <c r="Q57" s="128"/>
      <c r="R57" s="128"/>
      <c r="S57" s="128"/>
    </row>
    <row r="58" spans="1:19" s="164" customFormat="1" ht="12" customHeight="1">
      <c r="A58" s="137"/>
      <c r="B58" s="133"/>
      <c r="C58" s="138"/>
      <c r="D58" s="138"/>
      <c r="E58" s="138"/>
      <c r="F58" s="138"/>
      <c r="G58" s="138"/>
      <c r="H58" s="139"/>
      <c r="I58" s="140"/>
      <c r="J58" s="140"/>
      <c r="L58" s="136"/>
      <c r="M58" s="136"/>
      <c r="N58" s="136"/>
      <c r="O58" s="136"/>
      <c r="P58" s="131"/>
      <c r="Q58" s="128"/>
      <c r="R58" s="128"/>
      <c r="S58" s="128"/>
    </row>
    <row r="59" spans="1:19" s="164" customFormat="1" ht="12" customHeight="1">
      <c r="A59" s="137"/>
      <c r="B59" s="133"/>
      <c r="C59" s="138"/>
      <c r="D59" s="138"/>
      <c r="E59" s="138"/>
      <c r="F59" s="138"/>
      <c r="G59" s="138"/>
      <c r="H59" s="139"/>
      <c r="I59" s="140"/>
      <c r="J59" s="140"/>
      <c r="L59" s="136"/>
      <c r="M59" s="136"/>
      <c r="N59" s="136"/>
      <c r="O59" s="136"/>
      <c r="P59" s="131"/>
      <c r="Q59" s="128"/>
      <c r="R59" s="128"/>
      <c r="S59" s="128"/>
    </row>
    <row r="60" spans="1:19" s="164" customFormat="1" ht="12" customHeight="1">
      <c r="A60" s="137"/>
      <c r="B60" s="133"/>
      <c r="C60" s="138"/>
      <c r="D60" s="138"/>
      <c r="E60" s="138"/>
      <c r="F60" s="138"/>
      <c r="G60" s="138"/>
      <c r="H60" s="139"/>
      <c r="I60" s="140"/>
      <c r="J60" s="140"/>
      <c r="L60" s="136"/>
      <c r="M60" s="136"/>
      <c r="N60" s="136"/>
      <c r="O60" s="136"/>
      <c r="P60" s="131"/>
      <c r="Q60" s="128"/>
      <c r="R60" s="128"/>
      <c r="S60" s="128"/>
    </row>
    <row r="61" spans="1:19" s="164" customFormat="1" ht="12" customHeight="1">
      <c r="A61" s="137"/>
      <c r="B61" s="133"/>
      <c r="C61" s="138"/>
      <c r="D61" s="138"/>
      <c r="E61" s="138"/>
      <c r="F61" s="138"/>
      <c r="G61" s="138"/>
      <c r="H61" s="139"/>
      <c r="I61" s="140"/>
      <c r="J61" s="140"/>
      <c r="L61" s="136"/>
      <c r="M61" s="136"/>
      <c r="N61" s="136"/>
      <c r="O61" s="136"/>
      <c r="P61" s="131"/>
      <c r="Q61" s="128"/>
      <c r="R61" s="128"/>
      <c r="S61" s="128"/>
    </row>
    <row r="62" spans="1:19" s="164" customFormat="1" ht="12" customHeight="1">
      <c r="A62" s="137"/>
      <c r="B62" s="133"/>
      <c r="C62" s="138"/>
      <c r="D62" s="138"/>
      <c r="E62" s="138"/>
      <c r="F62" s="138"/>
      <c r="G62" s="138"/>
      <c r="H62" s="139"/>
      <c r="I62" s="140"/>
      <c r="J62" s="140"/>
      <c r="L62" s="136"/>
      <c r="M62" s="136"/>
      <c r="N62" s="136"/>
      <c r="O62" s="136"/>
      <c r="P62" s="131"/>
      <c r="Q62" s="128"/>
      <c r="R62" s="128"/>
      <c r="S62" s="128"/>
    </row>
    <row r="63" spans="1:19" s="164" customFormat="1" ht="12" customHeight="1">
      <c r="A63" s="137"/>
      <c r="B63" s="133"/>
      <c r="C63" s="138"/>
      <c r="D63" s="138"/>
      <c r="E63" s="138"/>
      <c r="F63" s="138"/>
      <c r="G63" s="138"/>
      <c r="H63" s="139"/>
      <c r="I63" s="140"/>
      <c r="J63" s="140"/>
      <c r="L63" s="136"/>
      <c r="M63" s="136"/>
      <c r="N63" s="136"/>
      <c r="O63" s="136"/>
      <c r="P63" s="131"/>
      <c r="Q63" s="128"/>
      <c r="R63" s="128"/>
      <c r="S63" s="128"/>
    </row>
    <row r="64" spans="1:19" s="164" customFormat="1" ht="12" customHeight="1">
      <c r="A64" s="137"/>
      <c r="B64" s="133"/>
      <c r="C64" s="138"/>
      <c r="D64" s="138"/>
      <c r="E64" s="138"/>
      <c r="F64" s="138"/>
      <c r="G64" s="138"/>
      <c r="H64" s="139"/>
      <c r="I64" s="140"/>
      <c r="J64" s="140"/>
      <c r="L64" s="136"/>
      <c r="M64" s="136"/>
      <c r="N64" s="136"/>
      <c r="O64" s="136"/>
      <c r="P64" s="131"/>
      <c r="Q64" s="128"/>
      <c r="R64" s="128"/>
      <c r="S64" s="128"/>
    </row>
    <row r="65" spans="1:19" s="164" customFormat="1" ht="12" customHeight="1">
      <c r="A65" s="137"/>
      <c r="B65" s="133"/>
      <c r="C65" s="138"/>
      <c r="D65" s="138"/>
      <c r="E65" s="138"/>
      <c r="F65" s="138"/>
      <c r="G65" s="138"/>
      <c r="H65" s="139"/>
      <c r="I65" s="140"/>
      <c r="J65" s="140"/>
      <c r="L65" s="136"/>
      <c r="M65" s="136"/>
      <c r="N65" s="136"/>
      <c r="O65" s="136"/>
      <c r="P65" s="131"/>
      <c r="Q65" s="128"/>
      <c r="R65" s="128"/>
      <c r="S65" s="128"/>
    </row>
    <row r="66" spans="1:19" s="164" customFormat="1" ht="12" customHeight="1">
      <c r="A66" s="137"/>
      <c r="B66" s="133"/>
      <c r="C66" s="138"/>
      <c r="D66" s="138"/>
      <c r="E66" s="138"/>
      <c r="F66" s="138"/>
      <c r="G66" s="138"/>
      <c r="H66" s="139"/>
      <c r="I66" s="140"/>
      <c r="J66" s="140"/>
      <c r="L66" s="136"/>
      <c r="M66" s="136"/>
      <c r="N66" s="136"/>
      <c r="O66" s="136"/>
      <c r="P66" s="131"/>
      <c r="Q66" s="128"/>
      <c r="R66" s="128"/>
      <c r="S66" s="128"/>
    </row>
    <row r="67" spans="1:19" s="164" customFormat="1" ht="12" customHeight="1">
      <c r="A67" s="137"/>
      <c r="B67" s="133"/>
      <c r="C67" s="138"/>
      <c r="D67" s="138"/>
      <c r="E67" s="138"/>
      <c r="F67" s="138"/>
      <c r="G67" s="138"/>
      <c r="H67" s="139"/>
      <c r="I67" s="140"/>
      <c r="J67" s="140"/>
      <c r="L67" s="136"/>
      <c r="M67" s="136"/>
      <c r="N67" s="136"/>
      <c r="O67" s="136"/>
      <c r="P67" s="131"/>
      <c r="Q67" s="128"/>
      <c r="R67" s="128"/>
      <c r="S67" s="128"/>
    </row>
    <row r="68" spans="1:19" s="164" customFormat="1" ht="12" customHeight="1">
      <c r="A68" s="137"/>
      <c r="B68" s="133"/>
      <c r="C68" s="138"/>
      <c r="D68" s="138"/>
      <c r="E68" s="138"/>
      <c r="F68" s="138"/>
      <c r="G68" s="138"/>
      <c r="H68" s="139"/>
      <c r="I68" s="140"/>
      <c r="J68" s="140"/>
      <c r="L68" s="136"/>
      <c r="M68" s="136"/>
      <c r="N68" s="136"/>
      <c r="O68" s="136"/>
      <c r="P68" s="131"/>
      <c r="Q68" s="128"/>
      <c r="R68" s="128"/>
      <c r="S68" s="128"/>
    </row>
    <row r="69" spans="1:19" s="164" customFormat="1" ht="12" customHeight="1">
      <c r="A69" s="137"/>
      <c r="B69" s="133"/>
      <c r="C69" s="138"/>
      <c r="D69" s="138"/>
      <c r="E69" s="138"/>
      <c r="F69" s="138"/>
      <c r="G69" s="138"/>
      <c r="H69" s="139"/>
      <c r="I69" s="140"/>
      <c r="J69" s="140"/>
      <c r="L69" s="136"/>
      <c r="M69" s="136"/>
      <c r="N69" s="136"/>
      <c r="O69" s="136"/>
      <c r="P69" s="131"/>
      <c r="Q69" s="128"/>
      <c r="R69" s="128"/>
      <c r="S69" s="128"/>
    </row>
    <row r="70" spans="1:19" s="164" customFormat="1" ht="12" customHeight="1">
      <c r="A70" s="137"/>
      <c r="B70" s="133"/>
      <c r="C70" s="138"/>
      <c r="D70" s="138"/>
      <c r="E70" s="138"/>
      <c r="F70" s="138"/>
      <c r="G70" s="138"/>
      <c r="H70" s="139"/>
      <c r="I70" s="140"/>
      <c r="J70" s="140"/>
      <c r="L70" s="136"/>
      <c r="M70" s="136"/>
      <c r="N70" s="136"/>
      <c r="O70" s="136"/>
      <c r="P70" s="131"/>
      <c r="Q70" s="128"/>
      <c r="R70" s="128"/>
      <c r="S70" s="128"/>
    </row>
    <row r="71" spans="1:19" s="164" customFormat="1" ht="12" customHeight="1">
      <c r="A71" s="137"/>
      <c r="B71" s="133"/>
      <c r="C71" s="138"/>
      <c r="D71" s="138"/>
      <c r="E71" s="138"/>
      <c r="F71" s="138"/>
      <c r="G71" s="138"/>
      <c r="H71" s="139"/>
      <c r="I71" s="140"/>
      <c r="J71" s="140"/>
      <c r="L71" s="136"/>
      <c r="M71" s="136"/>
      <c r="N71" s="136"/>
      <c r="O71" s="136"/>
      <c r="P71" s="131"/>
      <c r="Q71" s="128"/>
      <c r="R71" s="128"/>
      <c r="S71" s="128"/>
    </row>
    <row r="72" spans="1:19" s="164" customFormat="1" ht="12" customHeight="1">
      <c r="A72" s="137"/>
      <c r="B72" s="133"/>
      <c r="C72" s="138"/>
      <c r="D72" s="138"/>
      <c r="E72" s="138"/>
      <c r="F72" s="138"/>
      <c r="G72" s="138"/>
      <c r="H72" s="139"/>
      <c r="I72" s="140"/>
      <c r="J72" s="140"/>
      <c r="L72" s="136"/>
      <c r="M72" s="136"/>
      <c r="N72" s="136"/>
      <c r="O72" s="136"/>
      <c r="P72" s="131"/>
      <c r="Q72" s="128"/>
      <c r="R72" s="128"/>
      <c r="S72" s="128"/>
    </row>
    <row r="73" spans="1:19" s="164" customFormat="1" ht="12" customHeight="1">
      <c r="A73" s="137"/>
      <c r="B73" s="133"/>
      <c r="C73" s="138"/>
      <c r="D73" s="138"/>
      <c r="E73" s="138"/>
      <c r="F73" s="138"/>
      <c r="G73" s="138"/>
      <c r="H73" s="139"/>
      <c r="I73" s="140"/>
      <c r="J73" s="140"/>
      <c r="L73" s="136"/>
      <c r="M73" s="136"/>
      <c r="N73" s="136"/>
      <c r="O73" s="136"/>
      <c r="P73" s="131"/>
      <c r="Q73" s="128"/>
      <c r="R73" s="128"/>
      <c r="S73" s="128"/>
    </row>
    <row r="74" spans="1:19" s="164" customFormat="1" ht="12" customHeight="1">
      <c r="A74" s="137"/>
      <c r="B74" s="133"/>
      <c r="C74" s="138"/>
      <c r="D74" s="138"/>
      <c r="E74" s="138"/>
      <c r="F74" s="138"/>
      <c r="G74" s="138"/>
      <c r="H74" s="139"/>
      <c r="I74" s="140"/>
      <c r="J74" s="140"/>
      <c r="L74" s="136"/>
      <c r="M74" s="136"/>
      <c r="N74" s="136"/>
      <c r="O74" s="136"/>
      <c r="P74" s="131"/>
      <c r="Q74" s="128"/>
      <c r="R74" s="128"/>
      <c r="S74" s="128"/>
    </row>
    <row r="75" spans="1:19" s="164" customFormat="1" ht="12" customHeight="1">
      <c r="A75" s="137"/>
      <c r="B75" s="133"/>
      <c r="C75" s="138"/>
      <c r="D75" s="138"/>
      <c r="E75" s="138"/>
      <c r="F75" s="138"/>
      <c r="G75" s="138"/>
      <c r="H75" s="139"/>
      <c r="I75" s="140"/>
      <c r="J75" s="140"/>
      <c r="L75" s="136"/>
      <c r="M75" s="136"/>
      <c r="N75" s="136"/>
      <c r="O75" s="136"/>
      <c r="P75" s="131"/>
      <c r="Q75" s="128"/>
      <c r="R75" s="128"/>
      <c r="S75" s="128"/>
    </row>
    <row r="76" spans="1:19" s="164" customFormat="1" ht="12" customHeight="1">
      <c r="A76" s="137"/>
      <c r="B76" s="133"/>
      <c r="C76" s="138"/>
      <c r="D76" s="138"/>
      <c r="E76" s="138"/>
      <c r="F76" s="138"/>
      <c r="G76" s="138"/>
      <c r="H76" s="139"/>
      <c r="I76" s="140"/>
      <c r="J76" s="140"/>
      <c r="L76" s="136"/>
      <c r="M76" s="136"/>
      <c r="N76" s="136"/>
      <c r="O76" s="136"/>
      <c r="P76" s="131"/>
      <c r="Q76" s="128"/>
      <c r="R76" s="128"/>
      <c r="S76" s="128"/>
    </row>
    <row r="77" spans="1:19" s="164" customFormat="1" ht="12" customHeight="1">
      <c r="A77" s="137"/>
      <c r="B77" s="133"/>
      <c r="C77" s="138"/>
      <c r="D77" s="138"/>
      <c r="E77" s="138"/>
      <c r="F77" s="138"/>
      <c r="G77" s="138"/>
      <c r="H77" s="139"/>
      <c r="I77" s="140"/>
      <c r="J77" s="140"/>
      <c r="L77" s="136"/>
      <c r="M77" s="136"/>
      <c r="N77" s="136"/>
      <c r="O77" s="136"/>
      <c r="P77" s="131"/>
      <c r="Q77" s="128"/>
      <c r="R77" s="128"/>
      <c r="S77" s="128"/>
    </row>
    <row r="78" spans="1:19" s="164" customFormat="1" ht="12" customHeight="1">
      <c r="A78" s="137"/>
      <c r="B78" s="133"/>
      <c r="C78" s="138"/>
      <c r="D78" s="138"/>
      <c r="E78" s="138"/>
      <c r="F78" s="138"/>
      <c r="G78" s="138"/>
      <c r="H78" s="139"/>
      <c r="I78" s="140"/>
      <c r="J78" s="140"/>
      <c r="L78" s="136"/>
      <c r="M78" s="136"/>
      <c r="N78" s="136"/>
      <c r="O78" s="136"/>
      <c r="P78" s="131"/>
      <c r="Q78" s="128"/>
      <c r="R78" s="128"/>
      <c r="S78" s="128"/>
    </row>
    <row r="79" spans="1:19" s="164" customFormat="1" ht="12" customHeight="1">
      <c r="A79" s="137"/>
      <c r="B79" s="133"/>
      <c r="C79" s="138"/>
      <c r="D79" s="138"/>
      <c r="E79" s="138"/>
      <c r="F79" s="138"/>
      <c r="G79" s="138"/>
      <c r="H79" s="139"/>
      <c r="I79" s="140"/>
      <c r="J79" s="140"/>
      <c r="L79" s="136"/>
      <c r="M79" s="136"/>
      <c r="N79" s="136"/>
      <c r="O79" s="136"/>
      <c r="P79" s="131"/>
      <c r="Q79" s="128"/>
      <c r="R79" s="128"/>
      <c r="S79" s="128"/>
    </row>
    <row r="80" spans="1:19" s="164" customFormat="1" ht="12" customHeight="1">
      <c r="A80" s="137"/>
      <c r="B80" s="133"/>
      <c r="C80" s="138"/>
      <c r="D80" s="138"/>
      <c r="E80" s="138"/>
      <c r="F80" s="138"/>
      <c r="G80" s="138"/>
      <c r="H80" s="139"/>
      <c r="I80" s="140"/>
      <c r="J80" s="140"/>
      <c r="L80" s="136"/>
      <c r="M80" s="136"/>
      <c r="N80" s="136"/>
      <c r="O80" s="136"/>
      <c r="P80" s="131"/>
      <c r="Q80" s="128"/>
      <c r="R80" s="128"/>
      <c r="S80" s="128"/>
    </row>
    <row r="81" spans="1:19" s="164" customFormat="1" ht="12" customHeight="1">
      <c r="A81" s="137"/>
      <c r="B81" s="133"/>
      <c r="C81" s="138"/>
      <c r="D81" s="138"/>
      <c r="E81" s="138"/>
      <c r="F81" s="138"/>
      <c r="G81" s="138"/>
      <c r="H81" s="139"/>
      <c r="I81" s="140"/>
      <c r="J81" s="140"/>
      <c r="L81" s="136"/>
      <c r="M81" s="136"/>
      <c r="N81" s="136"/>
      <c r="O81" s="136"/>
      <c r="P81" s="131"/>
      <c r="Q81" s="128"/>
      <c r="R81" s="128"/>
      <c r="S81" s="128"/>
    </row>
    <row r="82" spans="1:19" s="164" customFormat="1" ht="12" customHeight="1">
      <c r="A82" s="137"/>
      <c r="B82" s="133"/>
      <c r="C82" s="138"/>
      <c r="D82" s="138"/>
      <c r="E82" s="138"/>
      <c r="F82" s="138"/>
      <c r="G82" s="138"/>
      <c r="H82" s="139"/>
      <c r="I82" s="140"/>
      <c r="J82" s="140"/>
      <c r="L82" s="136"/>
      <c r="M82" s="136"/>
      <c r="N82" s="136"/>
      <c r="O82" s="136"/>
      <c r="P82" s="131"/>
      <c r="Q82" s="128"/>
      <c r="R82" s="128"/>
      <c r="S82" s="128"/>
    </row>
    <row r="83" spans="1:19" s="164" customFormat="1" ht="12" customHeight="1">
      <c r="A83" s="137"/>
      <c r="B83" s="133"/>
      <c r="C83" s="138"/>
      <c r="D83" s="138"/>
      <c r="E83" s="138"/>
      <c r="F83" s="138"/>
      <c r="G83" s="138"/>
      <c r="H83" s="139"/>
      <c r="I83" s="140"/>
      <c r="J83" s="140"/>
      <c r="L83" s="136"/>
      <c r="M83" s="136"/>
      <c r="N83" s="136"/>
      <c r="O83" s="136"/>
      <c r="P83" s="131"/>
      <c r="Q83" s="128"/>
      <c r="R83" s="128"/>
      <c r="S83" s="128"/>
    </row>
    <row r="84" spans="1:19" s="164" customFormat="1" ht="12" customHeight="1">
      <c r="A84" s="137"/>
      <c r="B84" s="133"/>
      <c r="C84" s="138"/>
      <c r="D84" s="138"/>
      <c r="E84" s="138"/>
      <c r="F84" s="138"/>
      <c r="G84" s="138"/>
      <c r="H84" s="139"/>
      <c r="I84" s="140"/>
      <c r="J84" s="140"/>
      <c r="L84" s="136"/>
      <c r="M84" s="136"/>
      <c r="N84" s="136"/>
      <c r="O84" s="136"/>
      <c r="P84" s="131"/>
      <c r="Q84" s="128"/>
      <c r="R84" s="128"/>
      <c r="S84" s="128"/>
    </row>
    <row r="85" spans="1:19" s="164" customFormat="1" ht="12" customHeight="1">
      <c r="A85" s="137"/>
      <c r="B85" s="133"/>
      <c r="C85" s="138"/>
      <c r="D85" s="138"/>
      <c r="E85" s="138"/>
      <c r="F85" s="138"/>
      <c r="G85" s="138"/>
      <c r="H85" s="139"/>
      <c r="I85" s="140"/>
      <c r="J85" s="140"/>
      <c r="L85" s="136"/>
      <c r="M85" s="136"/>
      <c r="N85" s="136"/>
      <c r="O85" s="136"/>
      <c r="P85" s="131"/>
      <c r="Q85" s="128"/>
      <c r="R85" s="128"/>
      <c r="S85" s="128"/>
    </row>
    <row r="86" spans="1:19" s="164" customFormat="1" ht="12" customHeight="1">
      <c r="A86" s="137"/>
      <c r="B86" s="133"/>
      <c r="C86" s="138"/>
      <c r="D86" s="138"/>
      <c r="E86" s="138"/>
      <c r="F86" s="138"/>
      <c r="G86" s="138"/>
      <c r="H86" s="139"/>
      <c r="I86" s="140"/>
      <c r="J86" s="140"/>
      <c r="L86" s="136"/>
      <c r="M86" s="136"/>
      <c r="N86" s="136"/>
      <c r="O86" s="136"/>
      <c r="P86" s="131"/>
      <c r="Q86" s="128"/>
      <c r="R86" s="128"/>
      <c r="S86" s="128"/>
    </row>
    <row r="87" spans="1:19" s="164" customFormat="1" ht="12" customHeight="1">
      <c r="A87" s="137"/>
      <c r="B87" s="133"/>
      <c r="C87" s="138"/>
      <c r="D87" s="138"/>
      <c r="E87" s="138"/>
      <c r="F87" s="138"/>
      <c r="G87" s="138"/>
      <c r="H87" s="139"/>
      <c r="I87" s="140"/>
      <c r="J87" s="140"/>
      <c r="L87" s="136"/>
      <c r="M87" s="136"/>
      <c r="N87" s="136"/>
      <c r="O87" s="136"/>
      <c r="P87" s="131"/>
      <c r="Q87" s="128"/>
      <c r="R87" s="128"/>
      <c r="S87" s="128"/>
    </row>
    <row r="88" spans="1:19" s="164" customFormat="1" ht="12" customHeight="1">
      <c r="A88" s="137"/>
      <c r="B88" s="133"/>
      <c r="C88" s="138"/>
      <c r="D88" s="138"/>
      <c r="E88" s="138"/>
      <c r="F88" s="138"/>
      <c r="G88" s="138"/>
      <c r="H88" s="139"/>
      <c r="I88" s="140"/>
      <c r="J88" s="140"/>
      <c r="L88" s="136"/>
      <c r="M88" s="136"/>
      <c r="N88" s="136"/>
      <c r="O88" s="136"/>
      <c r="P88" s="131"/>
      <c r="Q88" s="128"/>
      <c r="R88" s="128"/>
      <c r="S88" s="128"/>
    </row>
    <row r="89" spans="1:19" s="164" customFormat="1" ht="12" customHeight="1">
      <c r="A89" s="137"/>
      <c r="B89" s="133"/>
      <c r="C89" s="138"/>
      <c r="D89" s="138"/>
      <c r="E89" s="138"/>
      <c r="F89" s="138"/>
      <c r="G89" s="138"/>
      <c r="H89" s="139"/>
      <c r="I89" s="140"/>
      <c r="J89" s="140"/>
      <c r="L89" s="136"/>
      <c r="M89" s="136"/>
      <c r="N89" s="136"/>
      <c r="O89" s="136"/>
      <c r="P89" s="131"/>
      <c r="Q89" s="128"/>
      <c r="R89" s="128"/>
      <c r="S89" s="128"/>
    </row>
    <row r="90" spans="1:19" s="164" customFormat="1" ht="12" customHeight="1">
      <c r="A90" s="137"/>
      <c r="B90" s="133"/>
      <c r="C90" s="138"/>
      <c r="D90" s="138"/>
      <c r="E90" s="138"/>
      <c r="F90" s="138"/>
      <c r="G90" s="138"/>
      <c r="H90" s="139"/>
      <c r="I90" s="140"/>
      <c r="J90" s="140"/>
      <c r="L90" s="136"/>
      <c r="M90" s="136"/>
      <c r="N90" s="136"/>
      <c r="O90" s="136"/>
      <c r="P90" s="131"/>
      <c r="Q90" s="128"/>
      <c r="R90" s="128"/>
      <c r="S90" s="128"/>
    </row>
    <row r="91" spans="1:19" s="164" customFormat="1" ht="12" customHeight="1">
      <c r="A91" s="137"/>
      <c r="B91" s="133"/>
      <c r="C91" s="138"/>
      <c r="D91" s="138"/>
      <c r="E91" s="138"/>
      <c r="F91" s="138"/>
      <c r="G91" s="138"/>
      <c r="H91" s="139"/>
      <c r="I91" s="140"/>
      <c r="J91" s="140"/>
      <c r="L91" s="136"/>
      <c r="M91" s="136"/>
      <c r="N91" s="136"/>
      <c r="O91" s="136"/>
      <c r="P91" s="131"/>
      <c r="Q91" s="128"/>
      <c r="R91" s="128"/>
      <c r="S91" s="128"/>
    </row>
    <row r="92" spans="1:19" s="164" customFormat="1" ht="12" customHeight="1">
      <c r="A92" s="137"/>
      <c r="B92" s="133"/>
      <c r="C92" s="138"/>
      <c r="D92" s="138"/>
      <c r="E92" s="138"/>
      <c r="F92" s="138"/>
      <c r="G92" s="138"/>
      <c r="H92" s="139"/>
      <c r="I92" s="140"/>
      <c r="J92" s="140"/>
      <c r="L92" s="136"/>
      <c r="M92" s="136"/>
      <c r="N92" s="136"/>
      <c r="O92" s="136"/>
      <c r="P92" s="131"/>
      <c r="Q92" s="128"/>
      <c r="R92" s="128"/>
      <c r="S92" s="128"/>
    </row>
    <row r="93" spans="1:19" s="164" customFormat="1" ht="12" customHeight="1">
      <c r="A93" s="137"/>
      <c r="B93" s="133"/>
      <c r="C93" s="138"/>
      <c r="D93" s="138"/>
      <c r="E93" s="138"/>
      <c r="F93" s="138"/>
      <c r="G93" s="138"/>
      <c r="H93" s="139"/>
      <c r="I93" s="140"/>
      <c r="J93" s="140"/>
      <c r="L93" s="136"/>
      <c r="M93" s="136"/>
      <c r="N93" s="136"/>
      <c r="O93" s="136"/>
      <c r="P93" s="131"/>
      <c r="Q93" s="128"/>
      <c r="R93" s="128"/>
      <c r="S93" s="128"/>
    </row>
    <row r="94" spans="1:19" s="164" customFormat="1" ht="12" customHeight="1">
      <c r="A94" s="137"/>
      <c r="B94" s="133"/>
      <c r="C94" s="138"/>
      <c r="D94" s="138"/>
      <c r="E94" s="138"/>
      <c r="F94" s="138"/>
      <c r="G94" s="138"/>
      <c r="H94" s="139"/>
      <c r="I94" s="140"/>
      <c r="J94" s="140"/>
      <c r="L94" s="136"/>
      <c r="M94" s="136"/>
      <c r="N94" s="136"/>
      <c r="O94" s="136"/>
      <c r="P94" s="131"/>
      <c r="Q94" s="128"/>
      <c r="R94" s="128"/>
      <c r="S94" s="128"/>
    </row>
    <row r="95" spans="1:19" s="164" customFormat="1" ht="12" customHeight="1">
      <c r="A95" s="137"/>
      <c r="B95" s="133"/>
      <c r="C95" s="138"/>
      <c r="D95" s="138"/>
      <c r="E95" s="138"/>
      <c r="F95" s="138"/>
      <c r="G95" s="138"/>
      <c r="H95" s="139"/>
      <c r="I95" s="140"/>
      <c r="J95" s="140"/>
      <c r="L95" s="136"/>
      <c r="M95" s="136"/>
      <c r="N95" s="136"/>
      <c r="O95" s="136"/>
      <c r="P95" s="131"/>
      <c r="Q95" s="128"/>
      <c r="R95" s="128"/>
      <c r="S95" s="128"/>
    </row>
    <row r="96" spans="1:19" s="164" customFormat="1" ht="12" customHeight="1">
      <c r="A96" s="137"/>
      <c r="B96" s="133"/>
      <c r="C96" s="138"/>
      <c r="D96" s="138"/>
      <c r="E96" s="138"/>
      <c r="F96" s="138"/>
      <c r="G96" s="138"/>
      <c r="H96" s="139"/>
      <c r="I96" s="140"/>
      <c r="J96" s="140"/>
      <c r="L96" s="136"/>
      <c r="M96" s="136"/>
      <c r="N96" s="136"/>
      <c r="O96" s="136"/>
      <c r="P96" s="131"/>
      <c r="Q96" s="128"/>
      <c r="R96" s="128"/>
      <c r="S96" s="128"/>
    </row>
    <row r="97" spans="1:19" s="164" customFormat="1" ht="12" customHeight="1">
      <c r="A97" s="137"/>
      <c r="B97" s="133"/>
      <c r="C97" s="138"/>
      <c r="D97" s="138"/>
      <c r="E97" s="138"/>
      <c r="F97" s="138"/>
      <c r="G97" s="138"/>
      <c r="H97" s="139"/>
      <c r="I97" s="140"/>
      <c r="J97" s="140"/>
      <c r="L97" s="136"/>
      <c r="M97" s="136"/>
      <c r="N97" s="136"/>
      <c r="O97" s="136"/>
      <c r="P97" s="131"/>
      <c r="Q97" s="128"/>
      <c r="R97" s="128"/>
      <c r="S97" s="128"/>
    </row>
    <row r="98" spans="1:19" s="164" customFormat="1" ht="12" customHeight="1">
      <c r="A98" s="137"/>
      <c r="B98" s="133"/>
      <c r="C98" s="138"/>
      <c r="D98" s="138"/>
      <c r="E98" s="138"/>
      <c r="F98" s="138"/>
      <c r="G98" s="138"/>
      <c r="H98" s="139"/>
      <c r="I98" s="140"/>
      <c r="J98" s="140"/>
      <c r="L98" s="136"/>
      <c r="M98" s="136"/>
      <c r="N98" s="136"/>
      <c r="O98" s="136"/>
      <c r="P98" s="131"/>
      <c r="Q98" s="128"/>
      <c r="R98" s="128"/>
      <c r="S98" s="128"/>
    </row>
    <row r="99" spans="1:19" s="164" customFormat="1" ht="12" customHeight="1">
      <c r="A99" s="137"/>
      <c r="B99" s="133"/>
      <c r="C99" s="138"/>
      <c r="D99" s="138"/>
      <c r="E99" s="138"/>
      <c r="F99" s="138"/>
      <c r="G99" s="138"/>
      <c r="H99" s="139"/>
      <c r="I99" s="140"/>
      <c r="J99" s="140"/>
      <c r="L99" s="136"/>
      <c r="M99" s="136"/>
      <c r="N99" s="136"/>
      <c r="O99" s="136"/>
      <c r="P99" s="131"/>
      <c r="Q99" s="128"/>
      <c r="R99" s="128"/>
      <c r="S99" s="128"/>
    </row>
    <row r="100" spans="1:19" s="164" customFormat="1" ht="12" customHeight="1">
      <c r="A100" s="137"/>
      <c r="B100" s="133"/>
      <c r="C100" s="138"/>
      <c r="D100" s="138"/>
      <c r="E100" s="138"/>
      <c r="F100" s="138"/>
      <c r="G100" s="138"/>
      <c r="H100" s="139"/>
      <c r="I100" s="140"/>
      <c r="J100" s="140"/>
      <c r="L100" s="136"/>
      <c r="M100" s="136"/>
      <c r="N100" s="136"/>
      <c r="O100" s="136"/>
      <c r="P100" s="131"/>
      <c r="Q100" s="128"/>
      <c r="R100" s="128"/>
      <c r="S100" s="128"/>
    </row>
    <row r="101" spans="1:19" s="164" customFormat="1" ht="12" customHeight="1">
      <c r="A101" s="137"/>
      <c r="B101" s="133"/>
      <c r="C101" s="138"/>
      <c r="D101" s="138"/>
      <c r="E101" s="138"/>
      <c r="F101" s="138"/>
      <c r="G101" s="138"/>
      <c r="H101" s="139"/>
      <c r="I101" s="140"/>
      <c r="J101" s="140"/>
      <c r="L101" s="136"/>
      <c r="M101" s="136"/>
      <c r="N101" s="136"/>
      <c r="O101" s="136"/>
      <c r="P101" s="131"/>
      <c r="Q101" s="128"/>
      <c r="R101" s="128"/>
      <c r="S101" s="128"/>
    </row>
    <row r="102" spans="1:19" s="164" customFormat="1" ht="12" customHeight="1">
      <c r="A102" s="137"/>
      <c r="B102" s="133"/>
      <c r="C102" s="138"/>
      <c r="D102" s="138"/>
      <c r="E102" s="138"/>
      <c r="F102" s="138"/>
      <c r="G102" s="138"/>
      <c r="H102" s="139"/>
      <c r="I102" s="140"/>
      <c r="J102" s="140"/>
      <c r="L102" s="136"/>
      <c r="M102" s="136"/>
      <c r="N102" s="136"/>
      <c r="O102" s="136"/>
      <c r="P102" s="131"/>
      <c r="Q102" s="128"/>
      <c r="R102" s="128"/>
      <c r="S102" s="128"/>
    </row>
    <row r="103" spans="1:19" s="164" customFormat="1" ht="12" customHeight="1">
      <c r="A103" s="137"/>
      <c r="B103" s="133"/>
      <c r="C103" s="138"/>
      <c r="D103" s="138"/>
      <c r="E103" s="138"/>
      <c r="F103" s="138"/>
      <c r="G103" s="138"/>
      <c r="H103" s="139"/>
      <c r="I103" s="140"/>
      <c r="J103" s="140"/>
      <c r="L103" s="136"/>
      <c r="M103" s="136"/>
      <c r="N103" s="136"/>
      <c r="O103" s="136"/>
      <c r="P103" s="131"/>
      <c r="Q103" s="128"/>
      <c r="R103" s="128"/>
      <c r="S103" s="128"/>
    </row>
    <row r="104" spans="1:19" s="164" customFormat="1" ht="12" customHeight="1">
      <c r="A104" s="137"/>
      <c r="B104" s="133"/>
      <c r="C104" s="138"/>
      <c r="D104" s="138"/>
      <c r="E104" s="138"/>
      <c r="F104" s="138"/>
      <c r="G104" s="138"/>
      <c r="H104" s="139"/>
      <c r="I104" s="140"/>
      <c r="J104" s="140"/>
      <c r="L104" s="136"/>
      <c r="M104" s="136"/>
      <c r="N104" s="136"/>
      <c r="O104" s="136"/>
      <c r="P104" s="131"/>
      <c r="Q104" s="128"/>
      <c r="R104" s="128"/>
      <c r="S104" s="128"/>
    </row>
    <row r="105" spans="1:19" s="164" customFormat="1" ht="12" customHeight="1">
      <c r="A105" s="137"/>
      <c r="B105" s="133"/>
      <c r="C105" s="138"/>
      <c r="D105" s="138"/>
      <c r="E105" s="138"/>
      <c r="F105" s="138"/>
      <c r="G105" s="138"/>
      <c r="H105" s="139"/>
      <c r="I105" s="140"/>
      <c r="J105" s="140"/>
      <c r="L105" s="136"/>
      <c r="M105" s="136"/>
      <c r="N105" s="136"/>
      <c r="O105" s="136"/>
      <c r="P105" s="131"/>
      <c r="Q105" s="128"/>
      <c r="R105" s="128"/>
      <c r="S105" s="128"/>
    </row>
    <row r="106" spans="1:19" s="164" customFormat="1" ht="12" customHeight="1">
      <c r="A106" s="137"/>
      <c r="B106" s="133"/>
      <c r="C106" s="138"/>
      <c r="D106" s="138"/>
      <c r="E106" s="138"/>
      <c r="F106" s="138"/>
      <c r="G106" s="138"/>
      <c r="H106" s="139"/>
      <c r="I106" s="140"/>
      <c r="J106" s="140"/>
      <c r="L106" s="136"/>
      <c r="M106" s="136"/>
      <c r="N106" s="136"/>
      <c r="O106" s="136"/>
      <c r="P106" s="131"/>
      <c r="Q106" s="128"/>
      <c r="R106" s="128"/>
      <c r="S106" s="128"/>
    </row>
    <row r="107" spans="1:19" s="164" customFormat="1" ht="12" customHeight="1">
      <c r="A107" s="137"/>
      <c r="B107" s="133"/>
      <c r="C107" s="138"/>
      <c r="D107" s="138"/>
      <c r="E107" s="138"/>
      <c r="F107" s="138"/>
      <c r="G107" s="138"/>
      <c r="H107" s="139"/>
      <c r="I107" s="140"/>
      <c r="J107" s="140"/>
      <c r="L107" s="136"/>
      <c r="M107" s="136"/>
      <c r="N107" s="136"/>
      <c r="O107" s="136"/>
      <c r="P107" s="131"/>
      <c r="Q107" s="128"/>
      <c r="R107" s="128"/>
      <c r="S107" s="128"/>
    </row>
    <row r="108" spans="1:19" s="164" customFormat="1" ht="12" customHeight="1">
      <c r="A108" s="137"/>
      <c r="B108" s="133"/>
      <c r="C108" s="138"/>
      <c r="D108" s="138"/>
      <c r="E108" s="138"/>
      <c r="F108" s="138"/>
      <c r="G108" s="138"/>
      <c r="H108" s="139"/>
      <c r="I108" s="140"/>
      <c r="J108" s="140"/>
      <c r="L108" s="136"/>
      <c r="M108" s="136"/>
      <c r="N108" s="136"/>
      <c r="O108" s="136"/>
      <c r="P108" s="131"/>
      <c r="Q108" s="128"/>
      <c r="R108" s="128"/>
      <c r="S108" s="128"/>
    </row>
    <row r="109" spans="1:19" s="164" customFormat="1" ht="12" customHeight="1">
      <c r="A109" s="137"/>
      <c r="B109" s="133"/>
      <c r="C109" s="138"/>
      <c r="D109" s="138"/>
      <c r="E109" s="138"/>
      <c r="F109" s="138"/>
      <c r="G109" s="138"/>
      <c r="H109" s="139"/>
      <c r="I109" s="140"/>
      <c r="J109" s="140"/>
      <c r="L109" s="136"/>
      <c r="M109" s="136"/>
      <c r="N109" s="136"/>
      <c r="O109" s="136"/>
      <c r="P109" s="131"/>
      <c r="Q109" s="128"/>
      <c r="R109" s="128"/>
      <c r="S109" s="128"/>
    </row>
    <row r="110" spans="1:19" s="164" customFormat="1" ht="12" customHeight="1">
      <c r="A110" s="137"/>
      <c r="B110" s="133"/>
      <c r="C110" s="138"/>
      <c r="D110" s="138"/>
      <c r="E110" s="138"/>
      <c r="F110" s="138"/>
      <c r="G110" s="138"/>
      <c r="H110" s="139"/>
      <c r="I110" s="140"/>
      <c r="J110" s="140"/>
      <c r="L110" s="136"/>
      <c r="M110" s="136"/>
      <c r="N110" s="136"/>
      <c r="O110" s="136"/>
      <c r="P110" s="131"/>
      <c r="Q110" s="128"/>
      <c r="R110" s="128"/>
      <c r="S110" s="128"/>
    </row>
    <row r="111" spans="1:19" s="164" customFormat="1" ht="12" customHeight="1">
      <c r="A111" s="137"/>
      <c r="B111" s="133"/>
      <c r="C111" s="138"/>
      <c r="D111" s="138"/>
      <c r="E111" s="138"/>
      <c r="F111" s="138"/>
      <c r="G111" s="138"/>
      <c r="H111" s="139"/>
      <c r="I111" s="140"/>
      <c r="J111" s="140"/>
      <c r="L111" s="136"/>
      <c r="M111" s="136"/>
      <c r="N111" s="136"/>
      <c r="O111" s="136"/>
      <c r="P111" s="131"/>
      <c r="Q111" s="128"/>
      <c r="R111" s="128"/>
      <c r="S111" s="128"/>
    </row>
    <row r="112" spans="1:19" s="164" customFormat="1" ht="12" customHeight="1">
      <c r="A112" s="137"/>
      <c r="B112" s="133"/>
      <c r="C112" s="138"/>
      <c r="D112" s="138"/>
      <c r="E112" s="138"/>
      <c r="F112" s="138"/>
      <c r="G112" s="138"/>
      <c r="H112" s="139"/>
      <c r="I112" s="140"/>
      <c r="J112" s="140"/>
      <c r="L112" s="136"/>
      <c r="M112" s="136"/>
      <c r="N112" s="136"/>
      <c r="O112" s="136"/>
      <c r="P112" s="131"/>
      <c r="Q112" s="128"/>
      <c r="R112" s="128"/>
      <c r="S112" s="128"/>
    </row>
    <row r="113" spans="1:19" s="164" customFormat="1" ht="12" customHeight="1">
      <c r="A113" s="137"/>
      <c r="B113" s="133"/>
      <c r="C113" s="138"/>
      <c r="D113" s="138"/>
      <c r="E113" s="138"/>
      <c r="F113" s="138"/>
      <c r="G113" s="138"/>
      <c r="H113" s="139"/>
      <c r="I113" s="140"/>
      <c r="J113" s="140"/>
      <c r="L113" s="136"/>
      <c r="M113" s="136"/>
      <c r="N113" s="136"/>
      <c r="O113" s="136"/>
      <c r="P113" s="131"/>
      <c r="Q113" s="128"/>
      <c r="R113" s="128"/>
      <c r="S113" s="128"/>
    </row>
    <row r="114" spans="1:19" s="164" customFormat="1" ht="12" customHeight="1">
      <c r="A114" s="137"/>
      <c r="B114" s="133"/>
      <c r="C114" s="138"/>
      <c r="D114" s="138"/>
      <c r="E114" s="138"/>
      <c r="F114" s="138"/>
      <c r="G114" s="138"/>
      <c r="H114" s="139"/>
      <c r="I114" s="140"/>
      <c r="J114" s="140"/>
      <c r="L114" s="136"/>
      <c r="M114" s="136"/>
      <c r="N114" s="136"/>
      <c r="O114" s="136"/>
      <c r="P114" s="131"/>
      <c r="Q114" s="128"/>
      <c r="R114" s="128"/>
      <c r="S114" s="128"/>
    </row>
    <row r="115" spans="1:19" s="164" customFormat="1" ht="12" customHeight="1">
      <c r="A115" s="137"/>
      <c r="B115" s="133"/>
      <c r="C115" s="138"/>
      <c r="D115" s="138"/>
      <c r="E115" s="138"/>
      <c r="F115" s="138"/>
      <c r="G115" s="138"/>
      <c r="H115" s="139"/>
      <c r="I115" s="140"/>
      <c r="J115" s="140"/>
      <c r="L115" s="136"/>
      <c r="M115" s="136"/>
      <c r="N115" s="136"/>
      <c r="O115" s="136"/>
      <c r="P115" s="131"/>
      <c r="Q115" s="128"/>
      <c r="R115" s="128"/>
      <c r="S115" s="128"/>
    </row>
    <row r="116" spans="1:19" s="164" customFormat="1" ht="12" customHeight="1">
      <c r="A116" s="137"/>
      <c r="B116" s="133"/>
      <c r="C116" s="138"/>
      <c r="D116" s="138"/>
      <c r="E116" s="138"/>
      <c r="F116" s="138"/>
      <c r="G116" s="138"/>
      <c r="H116" s="139"/>
      <c r="I116" s="140"/>
      <c r="J116" s="140"/>
      <c r="L116" s="136"/>
      <c r="M116" s="136"/>
      <c r="N116" s="136"/>
      <c r="O116" s="136"/>
      <c r="P116" s="131"/>
      <c r="Q116" s="128"/>
      <c r="R116" s="128"/>
      <c r="S116" s="128"/>
    </row>
    <row r="117" spans="1:19" s="164" customFormat="1" ht="12" customHeight="1">
      <c r="A117" s="137"/>
      <c r="B117" s="133"/>
      <c r="C117" s="138"/>
      <c r="D117" s="138"/>
      <c r="E117" s="138"/>
      <c r="F117" s="138"/>
      <c r="G117" s="138"/>
      <c r="H117" s="139"/>
      <c r="I117" s="140"/>
      <c r="J117" s="140"/>
      <c r="L117" s="136"/>
      <c r="M117" s="136"/>
      <c r="N117" s="136"/>
      <c r="O117" s="136"/>
      <c r="P117" s="131"/>
      <c r="Q117" s="128"/>
      <c r="R117" s="128"/>
      <c r="S117" s="128"/>
    </row>
    <row r="118" spans="1:19" s="164" customFormat="1" ht="12" customHeight="1">
      <c r="A118" s="137"/>
      <c r="B118" s="133"/>
      <c r="C118" s="138"/>
      <c r="D118" s="138"/>
      <c r="E118" s="138"/>
      <c r="F118" s="138"/>
      <c r="G118" s="138"/>
      <c r="H118" s="139"/>
      <c r="I118" s="140"/>
      <c r="J118" s="140"/>
      <c r="L118" s="136"/>
      <c r="M118" s="136"/>
      <c r="N118" s="136"/>
      <c r="O118" s="136"/>
      <c r="P118" s="131"/>
      <c r="Q118" s="128"/>
      <c r="R118" s="128"/>
      <c r="S118" s="128"/>
    </row>
    <row r="119" spans="1:19" s="164" customFormat="1" ht="12" customHeight="1">
      <c r="A119" s="137"/>
      <c r="B119" s="133"/>
      <c r="C119" s="138"/>
      <c r="D119" s="138"/>
      <c r="E119" s="138"/>
      <c r="F119" s="138"/>
      <c r="G119" s="138"/>
      <c r="H119" s="139"/>
      <c r="I119" s="140"/>
      <c r="J119" s="140"/>
      <c r="L119" s="136"/>
      <c r="M119" s="136"/>
      <c r="N119" s="136"/>
      <c r="O119" s="136"/>
      <c r="P119" s="131"/>
      <c r="Q119" s="128"/>
      <c r="R119" s="128"/>
      <c r="S119" s="128"/>
    </row>
    <row r="120" spans="1:19" s="164" customFormat="1" ht="12" customHeight="1">
      <c r="A120" s="137"/>
      <c r="B120" s="133"/>
      <c r="C120" s="138"/>
      <c r="D120" s="138"/>
      <c r="E120" s="138"/>
      <c r="F120" s="138"/>
      <c r="G120" s="138"/>
      <c r="H120" s="139"/>
      <c r="I120" s="140"/>
      <c r="J120" s="140"/>
      <c r="L120" s="136"/>
      <c r="M120" s="136"/>
      <c r="N120" s="136"/>
      <c r="O120" s="136"/>
      <c r="P120" s="131"/>
      <c r="Q120" s="128"/>
      <c r="R120" s="128"/>
      <c r="S120" s="128"/>
    </row>
    <row r="121" spans="1:19" s="164" customFormat="1" ht="12" customHeight="1">
      <c r="A121" s="137"/>
      <c r="B121" s="133"/>
      <c r="C121" s="138"/>
      <c r="D121" s="138"/>
      <c r="E121" s="138"/>
      <c r="F121" s="138"/>
      <c r="G121" s="138"/>
      <c r="H121" s="139"/>
      <c r="I121" s="140"/>
      <c r="J121" s="140"/>
      <c r="L121" s="136"/>
      <c r="M121" s="136"/>
      <c r="N121" s="136"/>
      <c r="O121" s="136"/>
      <c r="P121" s="131"/>
      <c r="Q121" s="128"/>
      <c r="R121" s="128"/>
      <c r="S121" s="128"/>
    </row>
    <row r="122" spans="1:19" s="164" customFormat="1" ht="12" customHeight="1">
      <c r="A122" s="137"/>
      <c r="B122" s="133"/>
      <c r="C122" s="138"/>
      <c r="D122" s="138"/>
      <c r="E122" s="138"/>
      <c r="F122" s="138"/>
      <c r="G122" s="138"/>
      <c r="H122" s="139"/>
      <c r="I122" s="140"/>
      <c r="J122" s="140"/>
      <c r="L122" s="136"/>
      <c r="M122" s="136"/>
      <c r="N122" s="136"/>
      <c r="O122" s="136"/>
      <c r="P122" s="131"/>
      <c r="Q122" s="128"/>
      <c r="R122" s="128"/>
      <c r="S122" s="128"/>
    </row>
    <row r="123" spans="1:19" s="164" customFormat="1" ht="12" customHeight="1">
      <c r="A123" s="137"/>
      <c r="B123" s="133"/>
      <c r="C123" s="138"/>
      <c r="D123" s="138"/>
      <c r="E123" s="138"/>
      <c r="F123" s="138"/>
      <c r="G123" s="138"/>
      <c r="H123" s="139"/>
      <c r="I123" s="140"/>
      <c r="J123" s="140"/>
      <c r="L123" s="136"/>
      <c r="M123" s="136"/>
      <c r="N123" s="136"/>
      <c r="O123" s="136"/>
      <c r="P123" s="131"/>
      <c r="Q123" s="128"/>
      <c r="R123" s="128"/>
      <c r="S123" s="128"/>
    </row>
    <row r="124" spans="1:19" s="164" customFormat="1" ht="12" customHeight="1">
      <c r="A124" s="137"/>
      <c r="B124" s="133"/>
      <c r="C124" s="138"/>
      <c r="D124" s="138"/>
      <c r="E124" s="138"/>
      <c r="F124" s="138"/>
      <c r="G124" s="138"/>
      <c r="H124" s="139"/>
      <c r="I124" s="140"/>
      <c r="J124" s="140"/>
      <c r="L124" s="136"/>
      <c r="M124" s="136"/>
      <c r="N124" s="136"/>
      <c r="O124" s="136"/>
      <c r="P124" s="131"/>
      <c r="Q124" s="128"/>
      <c r="R124" s="128"/>
      <c r="S124" s="128"/>
    </row>
  </sheetData>
  <mergeCells count="19">
    <mergeCell ref="P4:P5"/>
    <mergeCell ref="Q4:Q5"/>
    <mergeCell ref="A7:N7"/>
    <mergeCell ref="Q7:Q8"/>
    <mergeCell ref="A8:N8"/>
    <mergeCell ref="O4:O5"/>
    <mergeCell ref="E4:E5"/>
    <mergeCell ref="A4:A5"/>
    <mergeCell ref="B4:B5"/>
    <mergeCell ref="N4:N5"/>
    <mergeCell ref="C4:C5"/>
    <mergeCell ref="D4:D5"/>
    <mergeCell ref="L4:L5"/>
    <mergeCell ref="M4:M5"/>
    <mergeCell ref="F4:H4"/>
    <mergeCell ref="I4:K4"/>
    <mergeCell ref="B16:M16"/>
    <mergeCell ref="B12:H12"/>
    <mergeCell ref="B9:O9"/>
  </mergeCells>
  <phoneticPr fontId="2" type="noConversion"/>
  <pageMargins left="0.74803149606299213" right="0.74803149606299213" top="0.6" bottom="0.6" header="0.51181102362204722" footer="0.51181102362204722"/>
  <pageSetup paperSize="9" scale="61" fitToHeight="3" orientation="landscape" r:id="rId1"/>
  <headerFooter alignWithMargins="0"/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indexed="43"/>
    <pageSetUpPr fitToPage="1"/>
  </sheetPr>
  <dimension ref="A1:S124"/>
  <sheetViews>
    <sheetView zoomScale="85" zoomScaleNormal="85" zoomScaleSheetLayoutView="85" workbookViewId="0">
      <pane xSplit="3" topLeftCell="D1" activePane="topRight" state="frozen"/>
      <selection activeCell="J9" sqref="J9"/>
      <selection pane="topRight" activeCell="P6" sqref="P6"/>
    </sheetView>
  </sheetViews>
  <sheetFormatPr defaultRowHeight="12" customHeight="1"/>
  <cols>
    <col min="1" max="1" width="3.77734375" style="137" customWidth="1"/>
    <col min="2" max="2" width="25.21875" style="133" customWidth="1"/>
    <col min="3" max="3" width="28.33203125" style="133" customWidth="1"/>
    <col min="4" max="4" width="12.44140625" style="133" customWidth="1"/>
    <col min="5" max="5" width="9.6640625" style="133" bestFit="1" customWidth="1"/>
    <col min="6" max="7" width="10.33203125" style="133" bestFit="1" customWidth="1"/>
    <col min="8" max="8" width="9.6640625" style="134" bestFit="1" customWidth="1"/>
    <col min="9" max="9" width="10.33203125" style="141" bestFit="1" customWidth="1"/>
    <col min="10" max="10" width="10.109375" style="141" bestFit="1" customWidth="1"/>
    <col min="11" max="11" width="9.5546875" style="164" customWidth="1"/>
    <col min="12" max="12" width="8.44140625" style="136" bestFit="1" customWidth="1"/>
    <col min="13" max="13" width="8.44140625" style="136" customWidth="1"/>
    <col min="14" max="14" width="7.88671875" style="136" customWidth="1"/>
    <col min="15" max="15" width="6.33203125" style="136" customWidth="1"/>
    <col min="16" max="16" width="5.77734375" style="131" customWidth="1"/>
    <col min="17" max="17" width="5.33203125" style="128" customWidth="1"/>
    <col min="18" max="16384" width="8.88671875" style="128"/>
  </cols>
  <sheetData>
    <row r="1" spans="1:19" s="125" customFormat="1" ht="50.25" customHeight="1">
      <c r="A1" s="322"/>
      <c r="B1" s="527" t="s">
        <v>754</v>
      </c>
      <c r="C1" s="327" t="s">
        <v>819</v>
      </c>
      <c r="D1" s="322"/>
      <c r="E1" s="323"/>
      <c r="F1" s="322"/>
      <c r="G1" s="322"/>
      <c r="H1" s="121"/>
      <c r="I1" s="121"/>
      <c r="J1" s="121"/>
      <c r="K1" s="282"/>
      <c r="L1" s="121"/>
      <c r="M1" s="121"/>
      <c r="N1" s="121"/>
      <c r="O1" s="121"/>
      <c r="P1" s="122"/>
      <c r="Q1" s="124"/>
    </row>
    <row r="2" spans="1:19" s="124" customFormat="1" ht="9" customHeight="1">
      <c r="A2" s="322"/>
      <c r="B2" s="323"/>
      <c r="C2" s="322"/>
      <c r="D2" s="322"/>
      <c r="E2" s="323"/>
      <c r="F2" s="322"/>
      <c r="G2" s="322"/>
      <c r="H2" s="121"/>
      <c r="I2" s="121"/>
      <c r="J2" s="121"/>
      <c r="K2" s="282"/>
      <c r="L2" s="121"/>
      <c r="M2" s="121"/>
      <c r="N2" s="121"/>
      <c r="O2" s="121"/>
      <c r="P2" s="122"/>
    </row>
    <row r="3" spans="1:19" s="124" customFormat="1" ht="33.75" customHeight="1" thickBot="1">
      <c r="A3" s="322"/>
      <c r="B3" s="323" t="s">
        <v>41</v>
      </c>
      <c r="C3" s="322"/>
      <c r="D3" s="322"/>
      <c r="E3" s="323"/>
      <c r="F3" s="322"/>
      <c r="G3" s="322"/>
      <c r="H3" s="121"/>
      <c r="I3" s="121"/>
      <c r="J3" s="121"/>
      <c r="K3" s="282"/>
      <c r="L3" s="121"/>
      <c r="M3" s="121"/>
      <c r="N3" s="121"/>
      <c r="O3" s="121"/>
      <c r="P3" s="122"/>
    </row>
    <row r="4" spans="1:19" s="126" customFormat="1" ht="33" customHeight="1">
      <c r="A4" s="948" t="s">
        <v>34</v>
      </c>
      <c r="B4" s="957" t="s">
        <v>35</v>
      </c>
      <c r="C4" s="959" t="s">
        <v>36</v>
      </c>
      <c r="D4" s="959" t="s">
        <v>37</v>
      </c>
      <c r="E4" s="955" t="s">
        <v>42</v>
      </c>
      <c r="F4" s="961" t="s">
        <v>43</v>
      </c>
      <c r="G4" s="951"/>
      <c r="H4" s="952"/>
      <c r="I4" s="951" t="s">
        <v>44</v>
      </c>
      <c r="J4" s="951"/>
      <c r="K4" s="952"/>
      <c r="L4" s="953" t="s">
        <v>45</v>
      </c>
      <c r="M4" s="955" t="s">
        <v>46</v>
      </c>
      <c r="N4" s="946" t="s">
        <v>47</v>
      </c>
      <c r="O4" s="946" t="s">
        <v>48</v>
      </c>
      <c r="P4" s="946" t="s">
        <v>49</v>
      </c>
      <c r="Q4" s="941" t="s">
        <v>39</v>
      </c>
    </row>
    <row r="5" spans="1:19" s="126" customFormat="1" ht="33" customHeight="1">
      <c r="A5" s="949"/>
      <c r="B5" s="958"/>
      <c r="C5" s="960"/>
      <c r="D5" s="960"/>
      <c r="E5" s="956"/>
      <c r="F5" s="183" t="s">
        <v>50</v>
      </c>
      <c r="G5" s="183" t="s">
        <v>51</v>
      </c>
      <c r="H5" s="184" t="s">
        <v>52</v>
      </c>
      <c r="I5" s="183" t="s">
        <v>53</v>
      </c>
      <c r="J5" s="183" t="s">
        <v>54</v>
      </c>
      <c r="K5" s="184" t="s">
        <v>55</v>
      </c>
      <c r="L5" s="954"/>
      <c r="M5" s="956"/>
      <c r="N5" s="947"/>
      <c r="O5" s="947"/>
      <c r="P5" s="947"/>
      <c r="Q5" s="942"/>
    </row>
    <row r="6" spans="1:19" s="187" customFormat="1" ht="54" customHeight="1">
      <c r="A6" s="191">
        <v>1</v>
      </c>
      <c r="B6" s="192" t="s">
        <v>503</v>
      </c>
      <c r="C6" s="526" t="s">
        <v>504</v>
      </c>
      <c r="D6" s="201" t="s">
        <v>488</v>
      </c>
      <c r="E6" s="193">
        <v>5963</v>
      </c>
      <c r="F6" s="525">
        <v>38967</v>
      </c>
      <c r="G6" s="525">
        <v>39785</v>
      </c>
      <c r="H6" s="649">
        <f>IF(G6-F6+1&gt;=2*365,2*365,G6-F6+1)</f>
        <v>730</v>
      </c>
      <c r="I6" s="525">
        <v>39248</v>
      </c>
      <c r="J6" s="525">
        <v>39785</v>
      </c>
      <c r="K6" s="649">
        <f>IF(J6-I6+1&gt;=2*365,2*365,J6-I6+1)</f>
        <v>538</v>
      </c>
      <c r="L6" s="650" t="s">
        <v>627</v>
      </c>
      <c r="M6" s="193">
        <f>357+429+210+86+42+44</f>
        <v>1168</v>
      </c>
      <c r="N6" s="672">
        <f>E6-M6</f>
        <v>4795</v>
      </c>
      <c r="O6" s="673">
        <f>N6/(배점기준!$G$9/1000)</f>
        <v>3.1843982417074486</v>
      </c>
      <c r="P6" s="674">
        <f>(IF(N6&lt;231,0,IF(O6&gt;=2.5,3,IF(O6&gt;=2,2,IF(O6&gt;=1.5,1.5,IF(O6&gt;=1,1,IF(O6&gt;=0.5,0.5,0.25)))))))*K6/H6</f>
        <v>2.2109589041095892</v>
      </c>
      <c r="Q6" s="785"/>
      <c r="S6" s="575"/>
    </row>
    <row r="7" spans="1:19" s="187" customFormat="1" ht="54" customHeight="1" thickBot="1">
      <c r="A7" s="943" t="s">
        <v>40</v>
      </c>
      <c r="B7" s="944"/>
      <c r="C7" s="944"/>
      <c r="D7" s="944"/>
      <c r="E7" s="944"/>
      <c r="F7" s="944"/>
      <c r="G7" s="944"/>
      <c r="H7" s="944"/>
      <c r="I7" s="944"/>
      <c r="J7" s="944"/>
      <c r="K7" s="944"/>
      <c r="L7" s="944"/>
      <c r="M7" s="944"/>
      <c r="N7" s="945"/>
      <c r="O7" s="328"/>
      <c r="P7" s="353">
        <f>SUM(P6:P6)</f>
        <v>2.2109589041095892</v>
      </c>
      <c r="Q7" s="993"/>
    </row>
    <row r="8" spans="1:19" s="189" customFormat="1" ht="54" customHeight="1" thickBot="1">
      <c r="A8" s="964" t="s">
        <v>56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965"/>
      <c r="M8" s="965"/>
      <c r="N8" s="966"/>
      <c r="O8" s="329"/>
      <c r="P8" s="352">
        <f>P7</f>
        <v>2.2109589041095892</v>
      </c>
      <c r="Q8" s="994"/>
    </row>
    <row r="9" spans="1:19" s="197" customFormat="1" ht="19.5" customHeight="1">
      <c r="A9" s="195" t="s">
        <v>57</v>
      </c>
      <c r="B9" s="963" t="s">
        <v>58</v>
      </c>
      <c r="C9" s="963"/>
      <c r="D9" s="963"/>
      <c r="E9" s="963"/>
      <c r="F9" s="963"/>
      <c r="G9" s="963"/>
      <c r="H9" s="963"/>
      <c r="I9" s="963"/>
      <c r="J9" s="963"/>
      <c r="K9" s="963"/>
      <c r="L9" s="963"/>
      <c r="M9" s="963"/>
      <c r="N9" s="963"/>
      <c r="O9" s="963"/>
      <c r="P9" s="196"/>
    </row>
    <row r="10" spans="1:19" s="161" customFormat="1" ht="18.75" customHeight="1">
      <c r="A10" s="250">
        <v>1</v>
      </c>
      <c r="B10" s="160" t="s">
        <v>67</v>
      </c>
      <c r="C10" s="160"/>
      <c r="D10" s="160"/>
      <c r="E10" s="160"/>
      <c r="F10" s="160"/>
      <c r="G10" s="160"/>
      <c r="K10" s="324"/>
      <c r="L10" s="162"/>
      <c r="M10" s="162"/>
      <c r="N10" s="162"/>
      <c r="O10" s="162"/>
    </row>
    <row r="11" spans="1:19" s="159" customFormat="1" ht="18.75" customHeight="1">
      <c r="A11" s="250">
        <v>2</v>
      </c>
      <c r="B11" s="160" t="s">
        <v>69</v>
      </c>
      <c r="C11" s="160"/>
      <c r="D11" s="160"/>
      <c r="E11" s="160"/>
      <c r="F11" s="163"/>
      <c r="G11" s="163"/>
      <c r="H11" s="163"/>
      <c r="I11" s="163"/>
      <c r="J11" s="163"/>
      <c r="K11" s="161"/>
    </row>
    <row r="12" spans="1:19" s="159" customFormat="1" ht="42.75" customHeight="1">
      <c r="A12" s="250">
        <v>3</v>
      </c>
      <c r="B12" s="962" t="s">
        <v>295</v>
      </c>
      <c r="C12" s="962"/>
      <c r="D12" s="962"/>
      <c r="E12" s="962"/>
      <c r="F12" s="962"/>
      <c r="G12" s="962"/>
      <c r="H12" s="962"/>
      <c r="I12" s="163"/>
      <c r="J12" s="163"/>
      <c r="K12" s="161"/>
    </row>
    <row r="13" spans="1:19" s="159" customFormat="1" ht="18.75" customHeight="1">
      <c r="A13" s="250">
        <v>4</v>
      </c>
      <c r="B13" s="159" t="s">
        <v>301</v>
      </c>
      <c r="C13" s="160"/>
      <c r="D13" s="160"/>
      <c r="E13" s="160"/>
      <c r="F13" s="163"/>
      <c r="G13" s="163"/>
      <c r="H13" s="163"/>
      <c r="I13" s="163"/>
      <c r="J13" s="163"/>
      <c r="K13" s="161"/>
    </row>
    <row r="14" spans="1:19" s="159" customFormat="1" ht="18.75" customHeight="1">
      <c r="A14" s="250">
        <v>5</v>
      </c>
      <c r="B14" s="160" t="s">
        <v>59</v>
      </c>
      <c r="C14" s="160"/>
      <c r="D14" s="160"/>
      <c r="E14" s="160"/>
      <c r="F14" s="163"/>
      <c r="G14" s="163"/>
      <c r="H14" s="163"/>
      <c r="I14" s="163"/>
      <c r="J14" s="163"/>
      <c r="K14" s="161"/>
    </row>
    <row r="15" spans="1:19" s="159" customFormat="1" ht="18.75" customHeight="1">
      <c r="A15" s="250">
        <v>6</v>
      </c>
      <c r="B15" s="160" t="s">
        <v>296</v>
      </c>
      <c r="C15" s="160"/>
      <c r="D15" s="160"/>
      <c r="E15" s="160"/>
      <c r="F15" s="160"/>
      <c r="G15" s="160"/>
      <c r="H15" s="161"/>
      <c r="I15" s="163"/>
      <c r="J15" s="163"/>
      <c r="K15" s="161"/>
    </row>
    <row r="16" spans="1:19" s="161" customFormat="1" ht="55.5" customHeight="1">
      <c r="A16" s="250">
        <v>7</v>
      </c>
      <c r="B16" s="950" t="s">
        <v>422</v>
      </c>
      <c r="C16" s="950"/>
      <c r="D16" s="950"/>
      <c r="E16" s="950"/>
      <c r="F16" s="950"/>
      <c r="G16" s="950"/>
      <c r="H16" s="950"/>
      <c r="I16" s="950"/>
      <c r="J16" s="950"/>
      <c r="K16" s="950"/>
      <c r="L16" s="950"/>
      <c r="M16" s="950"/>
      <c r="N16" s="162"/>
      <c r="O16" s="162"/>
    </row>
    <row r="17" spans="1:16" s="161" customFormat="1" ht="18.75" customHeight="1">
      <c r="A17" s="250">
        <v>8</v>
      </c>
      <c r="B17" s="160" t="s">
        <v>421</v>
      </c>
      <c r="C17" s="160"/>
      <c r="D17" s="160"/>
      <c r="E17" s="160"/>
      <c r="F17" s="160"/>
      <c r="G17" s="160"/>
      <c r="K17" s="324"/>
      <c r="L17" s="162"/>
      <c r="M17" s="162"/>
      <c r="N17" s="162"/>
      <c r="O17" s="162"/>
    </row>
    <row r="18" spans="1:16" s="161" customFormat="1" ht="18.75" customHeight="1">
      <c r="A18" s="250">
        <v>9</v>
      </c>
      <c r="B18" s="166" t="s">
        <v>70</v>
      </c>
      <c r="C18" s="166"/>
      <c r="D18" s="166"/>
      <c r="E18" s="166"/>
      <c r="F18" s="160"/>
      <c r="G18" s="160"/>
      <c r="K18" s="324"/>
      <c r="L18" s="162"/>
      <c r="M18" s="162"/>
      <c r="N18" s="162"/>
      <c r="O18" s="162"/>
    </row>
    <row r="19" spans="1:16" s="161" customFormat="1" ht="15" customHeight="1">
      <c r="B19" s="166"/>
      <c r="C19" s="166"/>
      <c r="D19" s="166"/>
      <c r="E19" s="166"/>
      <c r="F19" s="160"/>
      <c r="G19" s="160"/>
      <c r="K19" s="324"/>
      <c r="L19" s="162"/>
      <c r="M19" s="162"/>
      <c r="N19" s="162"/>
      <c r="O19" s="162"/>
    </row>
    <row r="20" spans="1:16" s="161" customFormat="1" ht="15" customHeight="1">
      <c r="B20" s="166"/>
      <c r="C20" s="166"/>
      <c r="D20" s="166"/>
      <c r="E20" s="166"/>
      <c r="F20" s="160"/>
      <c r="G20" s="160"/>
      <c r="K20" s="324"/>
      <c r="L20" s="162"/>
      <c r="M20" s="162"/>
      <c r="N20" s="162"/>
      <c r="O20" s="162"/>
    </row>
    <row r="21" spans="1:16" s="197" customFormat="1" ht="15" customHeight="1">
      <c r="A21" s="160"/>
      <c r="B21" s="160"/>
      <c r="C21" s="160"/>
      <c r="D21" s="160"/>
      <c r="E21" s="160"/>
      <c r="F21" s="198"/>
      <c r="G21" s="198"/>
      <c r="H21" s="161"/>
      <c r="I21" s="161"/>
      <c r="J21" s="161"/>
      <c r="K21" s="211"/>
      <c r="L21" s="199"/>
      <c r="M21" s="199"/>
      <c r="N21" s="199"/>
      <c r="O21" s="199"/>
      <c r="P21" s="200"/>
    </row>
    <row r="22" spans="1:16" ht="15" customHeight="1">
      <c r="B22" s="146"/>
      <c r="C22" s="146"/>
      <c r="D22" s="146"/>
      <c r="E22" s="146"/>
      <c r="F22" s="138"/>
      <c r="G22" s="138"/>
      <c r="H22" s="139"/>
      <c r="I22" s="140"/>
      <c r="J22" s="140"/>
    </row>
    <row r="23" spans="1:16" ht="15" customHeight="1">
      <c r="C23" s="138"/>
      <c r="D23" s="138"/>
      <c r="E23" s="138"/>
      <c r="F23" s="138"/>
      <c r="G23" s="138"/>
      <c r="H23" s="139"/>
      <c r="I23" s="140"/>
      <c r="J23" s="140"/>
    </row>
    <row r="24" spans="1:16" ht="15" customHeight="1">
      <c r="C24" s="138"/>
      <c r="D24" s="138"/>
      <c r="E24" s="138"/>
      <c r="F24" s="138"/>
      <c r="G24" s="138"/>
      <c r="H24" s="139"/>
      <c r="I24" s="140"/>
      <c r="J24" s="140"/>
    </row>
    <row r="25" spans="1:16" ht="12" customHeight="1">
      <c r="C25" s="138"/>
      <c r="D25" s="138"/>
      <c r="E25" s="138"/>
      <c r="F25" s="138"/>
      <c r="G25" s="138"/>
      <c r="H25" s="139"/>
      <c r="I25" s="140"/>
      <c r="J25" s="140"/>
    </row>
    <row r="26" spans="1:16" ht="12" customHeight="1">
      <c r="C26" s="138"/>
      <c r="D26" s="138"/>
      <c r="E26" s="138"/>
      <c r="F26" s="138"/>
      <c r="G26" s="138"/>
      <c r="H26" s="139"/>
      <c r="I26" s="140"/>
      <c r="J26" s="140"/>
    </row>
    <row r="27" spans="1:16" ht="12" customHeight="1">
      <c r="C27" s="138"/>
      <c r="D27" s="138"/>
      <c r="E27" s="138"/>
      <c r="F27" s="138"/>
      <c r="G27" s="138"/>
      <c r="H27" s="139"/>
      <c r="I27" s="140"/>
      <c r="J27" s="140"/>
    </row>
    <row r="28" spans="1:16" ht="12" customHeight="1">
      <c r="C28" s="138"/>
      <c r="D28" s="138"/>
      <c r="E28" s="138"/>
      <c r="F28" s="138"/>
      <c r="G28" s="138"/>
      <c r="H28" s="139"/>
      <c r="I28" s="140"/>
      <c r="J28" s="140"/>
    </row>
    <row r="29" spans="1:16" ht="12" customHeight="1">
      <c r="C29" s="138"/>
      <c r="D29" s="138"/>
      <c r="E29" s="138"/>
      <c r="F29" s="138"/>
      <c r="G29" s="138"/>
      <c r="H29" s="139"/>
      <c r="I29" s="140"/>
      <c r="J29" s="140"/>
    </row>
    <row r="30" spans="1:16" ht="12" customHeight="1">
      <c r="C30" s="138"/>
      <c r="D30" s="138"/>
      <c r="E30" s="138"/>
      <c r="F30" s="138"/>
      <c r="G30" s="138"/>
      <c r="H30" s="139"/>
      <c r="I30" s="140"/>
      <c r="J30" s="140"/>
    </row>
    <row r="31" spans="1:16" ht="12" customHeight="1">
      <c r="C31" s="138"/>
      <c r="D31" s="138"/>
      <c r="E31" s="138"/>
      <c r="F31" s="138"/>
      <c r="G31" s="138"/>
      <c r="H31" s="139"/>
      <c r="I31" s="140"/>
      <c r="J31" s="140"/>
    </row>
    <row r="32" spans="1:16" ht="12" customHeight="1">
      <c r="C32" s="138"/>
      <c r="D32" s="138"/>
      <c r="E32" s="138"/>
      <c r="F32" s="138"/>
      <c r="G32" s="138"/>
      <c r="H32" s="139"/>
      <c r="I32" s="140"/>
      <c r="J32" s="140"/>
    </row>
    <row r="33" spans="1:19" ht="12" customHeight="1">
      <c r="C33" s="138"/>
      <c r="D33" s="138"/>
      <c r="E33" s="138"/>
      <c r="F33" s="138"/>
      <c r="G33" s="138"/>
      <c r="H33" s="139"/>
      <c r="I33" s="140"/>
      <c r="J33" s="140"/>
    </row>
    <row r="34" spans="1:19" s="164" customFormat="1" ht="12" customHeight="1">
      <c r="A34" s="137"/>
      <c r="B34" s="133"/>
      <c r="C34" s="138"/>
      <c r="D34" s="138"/>
      <c r="E34" s="138"/>
      <c r="F34" s="138"/>
      <c r="G34" s="138"/>
      <c r="H34" s="139"/>
      <c r="I34" s="140"/>
      <c r="J34" s="140"/>
      <c r="L34" s="136"/>
      <c r="M34" s="136"/>
      <c r="N34" s="136"/>
      <c r="O34" s="136"/>
      <c r="P34" s="131"/>
      <c r="Q34" s="128"/>
      <c r="R34" s="128"/>
      <c r="S34" s="128"/>
    </row>
    <row r="35" spans="1:19" s="164" customFormat="1" ht="12" customHeight="1">
      <c r="A35" s="137"/>
      <c r="B35" s="133"/>
      <c r="C35" s="138"/>
      <c r="D35" s="138"/>
      <c r="E35" s="138"/>
      <c r="F35" s="138"/>
      <c r="G35" s="138"/>
      <c r="H35" s="139"/>
      <c r="I35" s="140"/>
      <c r="J35" s="140"/>
      <c r="L35" s="136"/>
      <c r="M35" s="136"/>
      <c r="N35" s="136"/>
      <c r="O35" s="136"/>
      <c r="P35" s="131"/>
      <c r="Q35" s="128"/>
      <c r="R35" s="128"/>
      <c r="S35" s="128"/>
    </row>
    <row r="36" spans="1:19" s="164" customFormat="1" ht="12" customHeight="1">
      <c r="A36" s="137"/>
      <c r="B36" s="133"/>
      <c r="C36" s="138"/>
      <c r="D36" s="138"/>
      <c r="E36" s="138"/>
      <c r="F36" s="138"/>
      <c r="G36" s="138"/>
      <c r="H36" s="139"/>
      <c r="I36" s="140"/>
      <c r="J36" s="140"/>
      <c r="L36" s="136"/>
      <c r="M36" s="136"/>
      <c r="N36" s="136"/>
      <c r="O36" s="136"/>
      <c r="P36" s="131"/>
      <c r="Q36" s="128"/>
      <c r="R36" s="128"/>
      <c r="S36" s="128"/>
    </row>
    <row r="37" spans="1:19" s="164" customFormat="1" ht="12" customHeight="1">
      <c r="A37" s="137"/>
      <c r="B37" s="133"/>
      <c r="C37" s="138"/>
      <c r="D37" s="138"/>
      <c r="E37" s="138"/>
      <c r="F37" s="138"/>
      <c r="G37" s="138"/>
      <c r="H37" s="139"/>
      <c r="I37" s="140"/>
      <c r="J37" s="140"/>
      <c r="L37" s="136"/>
      <c r="M37" s="136"/>
      <c r="N37" s="136"/>
      <c r="O37" s="136"/>
      <c r="P37" s="131"/>
      <c r="Q37" s="128"/>
      <c r="R37" s="128"/>
      <c r="S37" s="128"/>
    </row>
    <row r="38" spans="1:19" s="164" customFormat="1" ht="12" customHeight="1">
      <c r="A38" s="137"/>
      <c r="B38" s="133"/>
      <c r="C38" s="138"/>
      <c r="D38" s="138"/>
      <c r="E38" s="138"/>
      <c r="F38" s="138"/>
      <c r="G38" s="138"/>
      <c r="H38" s="139"/>
      <c r="I38" s="140"/>
      <c r="J38" s="140"/>
      <c r="L38" s="136"/>
      <c r="M38" s="136"/>
      <c r="N38" s="136"/>
      <c r="O38" s="136"/>
      <c r="P38" s="131"/>
      <c r="Q38" s="128"/>
      <c r="R38" s="128"/>
      <c r="S38" s="128"/>
    </row>
    <row r="39" spans="1:19" s="164" customFormat="1" ht="12" customHeight="1">
      <c r="A39" s="137"/>
      <c r="B39" s="133"/>
      <c r="C39" s="138"/>
      <c r="D39" s="138"/>
      <c r="E39" s="138"/>
      <c r="F39" s="138"/>
      <c r="G39" s="138"/>
      <c r="H39" s="139"/>
      <c r="I39" s="140"/>
      <c r="J39" s="140"/>
      <c r="L39" s="136"/>
      <c r="M39" s="136"/>
      <c r="N39" s="136"/>
      <c r="O39" s="136"/>
      <c r="P39" s="131"/>
      <c r="Q39" s="128"/>
      <c r="R39" s="128"/>
      <c r="S39" s="128"/>
    </row>
    <row r="40" spans="1:19" s="164" customFormat="1" ht="12" customHeight="1">
      <c r="A40" s="137"/>
      <c r="B40" s="133"/>
      <c r="C40" s="138"/>
      <c r="D40" s="138"/>
      <c r="E40" s="138"/>
      <c r="F40" s="138"/>
      <c r="G40" s="138"/>
      <c r="H40" s="139"/>
      <c r="I40" s="140"/>
      <c r="J40" s="140"/>
      <c r="L40" s="136"/>
      <c r="M40" s="136"/>
      <c r="N40" s="136"/>
      <c r="O40" s="136"/>
      <c r="P40" s="131"/>
      <c r="Q40" s="128"/>
      <c r="R40" s="128"/>
      <c r="S40" s="128"/>
    </row>
    <row r="41" spans="1:19" s="164" customFormat="1" ht="12" customHeight="1">
      <c r="A41" s="137"/>
      <c r="B41" s="133"/>
      <c r="C41" s="138"/>
      <c r="D41" s="138"/>
      <c r="E41" s="138"/>
      <c r="F41" s="138"/>
      <c r="G41" s="138"/>
      <c r="H41" s="139"/>
      <c r="I41" s="140"/>
      <c r="J41" s="140"/>
      <c r="L41" s="136"/>
      <c r="M41" s="136"/>
      <c r="N41" s="136"/>
      <c r="O41" s="136"/>
      <c r="P41" s="131"/>
      <c r="Q41" s="128"/>
      <c r="R41" s="128"/>
      <c r="S41" s="128"/>
    </row>
    <row r="42" spans="1:19" s="164" customFormat="1" ht="12" customHeight="1">
      <c r="A42" s="137"/>
      <c r="B42" s="133"/>
      <c r="C42" s="138"/>
      <c r="D42" s="138"/>
      <c r="E42" s="138"/>
      <c r="F42" s="138"/>
      <c r="G42" s="138"/>
      <c r="H42" s="139"/>
      <c r="I42" s="140"/>
      <c r="J42" s="140"/>
      <c r="L42" s="136"/>
      <c r="M42" s="136"/>
      <c r="N42" s="136"/>
      <c r="O42" s="136"/>
      <c r="P42" s="131"/>
      <c r="Q42" s="128"/>
      <c r="R42" s="128"/>
      <c r="S42" s="128"/>
    </row>
    <row r="43" spans="1:19" s="164" customFormat="1" ht="12" customHeight="1">
      <c r="A43" s="137"/>
      <c r="B43" s="133"/>
      <c r="C43" s="138"/>
      <c r="D43" s="138"/>
      <c r="E43" s="138"/>
      <c r="F43" s="138"/>
      <c r="G43" s="138"/>
      <c r="H43" s="139"/>
      <c r="I43" s="140"/>
      <c r="J43" s="140"/>
      <c r="L43" s="136"/>
      <c r="M43" s="136"/>
      <c r="N43" s="136"/>
      <c r="O43" s="136"/>
      <c r="P43" s="131"/>
      <c r="Q43" s="128"/>
      <c r="R43" s="128"/>
      <c r="S43" s="128"/>
    </row>
    <row r="44" spans="1:19" s="164" customFormat="1" ht="12" customHeight="1">
      <c r="A44" s="137"/>
      <c r="B44" s="133"/>
      <c r="C44" s="138"/>
      <c r="D44" s="138"/>
      <c r="E44" s="138"/>
      <c r="F44" s="138"/>
      <c r="G44" s="138"/>
      <c r="H44" s="139"/>
      <c r="I44" s="140"/>
      <c r="J44" s="140"/>
      <c r="L44" s="136"/>
      <c r="M44" s="136"/>
      <c r="N44" s="136"/>
      <c r="O44" s="136"/>
      <c r="P44" s="131"/>
      <c r="Q44" s="128"/>
      <c r="R44" s="128"/>
      <c r="S44" s="128"/>
    </row>
    <row r="45" spans="1:19" s="164" customFormat="1" ht="12" customHeight="1">
      <c r="A45" s="137"/>
      <c r="B45" s="133"/>
      <c r="C45" s="138"/>
      <c r="D45" s="138"/>
      <c r="E45" s="138"/>
      <c r="F45" s="138"/>
      <c r="G45" s="138"/>
      <c r="H45" s="139"/>
      <c r="I45" s="140"/>
      <c r="J45" s="140"/>
      <c r="L45" s="136"/>
      <c r="M45" s="136"/>
      <c r="N45" s="136"/>
      <c r="O45" s="136"/>
      <c r="P45" s="131"/>
      <c r="Q45" s="128"/>
      <c r="R45" s="128"/>
      <c r="S45" s="128"/>
    </row>
    <row r="46" spans="1:19" s="164" customFormat="1" ht="12" customHeight="1">
      <c r="A46" s="137"/>
      <c r="B46" s="133"/>
      <c r="C46" s="138"/>
      <c r="D46" s="138"/>
      <c r="E46" s="138"/>
      <c r="F46" s="138"/>
      <c r="G46" s="138"/>
      <c r="H46" s="139"/>
      <c r="I46" s="140"/>
      <c r="J46" s="140"/>
      <c r="L46" s="136"/>
      <c r="M46" s="136"/>
      <c r="N46" s="136"/>
      <c r="O46" s="136"/>
      <c r="P46" s="131"/>
      <c r="Q46" s="128"/>
      <c r="R46" s="128"/>
      <c r="S46" s="128"/>
    </row>
    <row r="47" spans="1:19" s="164" customFormat="1" ht="12" customHeight="1">
      <c r="A47" s="137"/>
      <c r="B47" s="133"/>
      <c r="C47" s="138"/>
      <c r="D47" s="138"/>
      <c r="E47" s="138"/>
      <c r="F47" s="138"/>
      <c r="G47" s="138"/>
      <c r="H47" s="139"/>
      <c r="I47" s="140"/>
      <c r="J47" s="140"/>
      <c r="L47" s="136"/>
      <c r="M47" s="136"/>
      <c r="N47" s="136"/>
      <c r="O47" s="136"/>
      <c r="P47" s="131"/>
      <c r="Q47" s="128"/>
      <c r="R47" s="128"/>
      <c r="S47" s="128"/>
    </row>
    <row r="48" spans="1:19" s="164" customFormat="1" ht="12" customHeight="1">
      <c r="A48" s="137"/>
      <c r="B48" s="133"/>
      <c r="C48" s="138"/>
      <c r="D48" s="138"/>
      <c r="E48" s="138"/>
      <c r="F48" s="138"/>
      <c r="G48" s="138"/>
      <c r="H48" s="139"/>
      <c r="I48" s="140"/>
      <c r="J48" s="140"/>
      <c r="L48" s="136"/>
      <c r="M48" s="136"/>
      <c r="N48" s="136"/>
      <c r="O48" s="136"/>
      <c r="P48" s="131"/>
      <c r="Q48" s="128"/>
      <c r="R48" s="128"/>
      <c r="S48" s="128"/>
    </row>
    <row r="49" spans="1:19" s="164" customFormat="1" ht="12" customHeight="1">
      <c r="A49" s="137"/>
      <c r="B49" s="133"/>
      <c r="C49" s="138"/>
      <c r="D49" s="138"/>
      <c r="E49" s="138"/>
      <c r="F49" s="138"/>
      <c r="G49" s="138"/>
      <c r="H49" s="139"/>
      <c r="I49" s="140"/>
      <c r="J49" s="140"/>
      <c r="L49" s="136"/>
      <c r="M49" s="136"/>
      <c r="N49" s="136"/>
      <c r="O49" s="136"/>
      <c r="P49" s="131"/>
      <c r="Q49" s="128"/>
      <c r="R49" s="128"/>
      <c r="S49" s="128"/>
    </row>
    <row r="50" spans="1:19" s="164" customFormat="1" ht="12" customHeight="1">
      <c r="A50" s="137"/>
      <c r="B50" s="133"/>
      <c r="C50" s="138"/>
      <c r="D50" s="138"/>
      <c r="E50" s="138"/>
      <c r="F50" s="138"/>
      <c r="G50" s="138"/>
      <c r="H50" s="139"/>
      <c r="I50" s="140"/>
      <c r="J50" s="140"/>
      <c r="L50" s="136"/>
      <c r="M50" s="136"/>
      <c r="N50" s="136"/>
      <c r="O50" s="136"/>
      <c r="P50" s="131"/>
      <c r="Q50" s="128"/>
      <c r="R50" s="128"/>
      <c r="S50" s="128"/>
    </row>
    <row r="51" spans="1:19" s="164" customFormat="1" ht="12" customHeight="1">
      <c r="A51" s="137"/>
      <c r="B51" s="133"/>
      <c r="C51" s="138"/>
      <c r="D51" s="138"/>
      <c r="E51" s="138"/>
      <c r="F51" s="138"/>
      <c r="G51" s="138"/>
      <c r="H51" s="139"/>
      <c r="I51" s="140"/>
      <c r="J51" s="140"/>
      <c r="L51" s="136"/>
      <c r="M51" s="136"/>
      <c r="N51" s="136"/>
      <c r="O51" s="136"/>
      <c r="P51" s="131"/>
      <c r="Q51" s="128"/>
      <c r="R51" s="128"/>
      <c r="S51" s="128"/>
    </row>
    <row r="52" spans="1:19" s="164" customFormat="1" ht="12" customHeight="1">
      <c r="A52" s="137"/>
      <c r="B52" s="133"/>
      <c r="C52" s="138"/>
      <c r="D52" s="138"/>
      <c r="E52" s="138"/>
      <c r="F52" s="138"/>
      <c r="G52" s="138"/>
      <c r="H52" s="139"/>
      <c r="I52" s="140"/>
      <c r="J52" s="140"/>
      <c r="L52" s="136"/>
      <c r="M52" s="136"/>
      <c r="N52" s="136"/>
      <c r="O52" s="136"/>
      <c r="P52" s="131"/>
      <c r="Q52" s="128"/>
      <c r="R52" s="128"/>
      <c r="S52" s="128"/>
    </row>
    <row r="53" spans="1:19" s="164" customFormat="1" ht="12" customHeight="1">
      <c r="A53" s="137"/>
      <c r="B53" s="133"/>
      <c r="C53" s="138"/>
      <c r="D53" s="138"/>
      <c r="E53" s="138"/>
      <c r="F53" s="138"/>
      <c r="G53" s="138"/>
      <c r="H53" s="139"/>
      <c r="I53" s="140"/>
      <c r="J53" s="140"/>
      <c r="L53" s="136"/>
      <c r="M53" s="136"/>
      <c r="N53" s="136"/>
      <c r="O53" s="136"/>
      <c r="P53" s="131"/>
      <c r="Q53" s="128"/>
      <c r="R53" s="128"/>
      <c r="S53" s="128"/>
    </row>
    <row r="54" spans="1:19" s="164" customFormat="1" ht="12" customHeight="1">
      <c r="A54" s="137"/>
      <c r="B54" s="133"/>
      <c r="C54" s="138"/>
      <c r="D54" s="138"/>
      <c r="E54" s="138"/>
      <c r="F54" s="138"/>
      <c r="G54" s="138"/>
      <c r="H54" s="139"/>
      <c r="I54" s="140"/>
      <c r="J54" s="140"/>
      <c r="L54" s="136"/>
      <c r="M54" s="136"/>
      <c r="N54" s="136"/>
      <c r="O54" s="136"/>
      <c r="P54" s="131"/>
      <c r="Q54" s="128"/>
      <c r="R54" s="128"/>
      <c r="S54" s="128"/>
    </row>
    <row r="55" spans="1:19" s="164" customFormat="1" ht="12" customHeight="1">
      <c r="A55" s="137"/>
      <c r="B55" s="133"/>
      <c r="C55" s="138"/>
      <c r="D55" s="138"/>
      <c r="E55" s="138"/>
      <c r="F55" s="138"/>
      <c r="G55" s="138"/>
      <c r="H55" s="139"/>
      <c r="I55" s="140"/>
      <c r="J55" s="140"/>
      <c r="L55" s="136"/>
      <c r="M55" s="136"/>
      <c r="N55" s="136"/>
      <c r="O55" s="136"/>
      <c r="P55" s="131"/>
      <c r="Q55" s="128"/>
      <c r="R55" s="128"/>
      <c r="S55" s="128"/>
    </row>
    <row r="56" spans="1:19" s="164" customFormat="1" ht="12" customHeight="1">
      <c r="A56" s="137"/>
      <c r="B56" s="133"/>
      <c r="C56" s="138"/>
      <c r="D56" s="138"/>
      <c r="E56" s="138"/>
      <c r="F56" s="138"/>
      <c r="G56" s="138"/>
      <c r="H56" s="139"/>
      <c r="I56" s="140"/>
      <c r="J56" s="140"/>
      <c r="L56" s="136"/>
      <c r="M56" s="136"/>
      <c r="N56" s="136"/>
      <c r="O56" s="136"/>
      <c r="P56" s="131"/>
      <c r="Q56" s="128"/>
      <c r="R56" s="128"/>
      <c r="S56" s="128"/>
    </row>
    <row r="57" spans="1:19" s="164" customFormat="1" ht="12" customHeight="1">
      <c r="A57" s="137"/>
      <c r="B57" s="133"/>
      <c r="C57" s="138"/>
      <c r="D57" s="138"/>
      <c r="E57" s="138"/>
      <c r="F57" s="138"/>
      <c r="G57" s="138"/>
      <c r="H57" s="139"/>
      <c r="I57" s="140"/>
      <c r="J57" s="140"/>
      <c r="L57" s="136"/>
      <c r="M57" s="136"/>
      <c r="N57" s="136"/>
      <c r="O57" s="136"/>
      <c r="P57" s="131"/>
      <c r="Q57" s="128"/>
      <c r="R57" s="128"/>
      <c r="S57" s="128"/>
    </row>
    <row r="58" spans="1:19" s="164" customFormat="1" ht="12" customHeight="1">
      <c r="A58" s="137"/>
      <c r="B58" s="133"/>
      <c r="C58" s="138"/>
      <c r="D58" s="138"/>
      <c r="E58" s="138"/>
      <c r="F58" s="138"/>
      <c r="G58" s="138"/>
      <c r="H58" s="139"/>
      <c r="I58" s="140"/>
      <c r="J58" s="140"/>
      <c r="L58" s="136"/>
      <c r="M58" s="136"/>
      <c r="N58" s="136"/>
      <c r="O58" s="136"/>
      <c r="P58" s="131"/>
      <c r="Q58" s="128"/>
      <c r="R58" s="128"/>
      <c r="S58" s="128"/>
    </row>
    <row r="59" spans="1:19" s="164" customFormat="1" ht="12" customHeight="1">
      <c r="A59" s="137"/>
      <c r="B59" s="133"/>
      <c r="C59" s="138"/>
      <c r="D59" s="138"/>
      <c r="E59" s="138"/>
      <c r="F59" s="138"/>
      <c r="G59" s="138"/>
      <c r="H59" s="139"/>
      <c r="I59" s="140"/>
      <c r="J59" s="140"/>
      <c r="L59" s="136"/>
      <c r="M59" s="136"/>
      <c r="N59" s="136"/>
      <c r="O59" s="136"/>
      <c r="P59" s="131"/>
      <c r="Q59" s="128"/>
      <c r="R59" s="128"/>
      <c r="S59" s="128"/>
    </row>
    <row r="60" spans="1:19" s="164" customFormat="1" ht="12" customHeight="1">
      <c r="A60" s="137"/>
      <c r="B60" s="133"/>
      <c r="C60" s="138"/>
      <c r="D60" s="138"/>
      <c r="E60" s="138"/>
      <c r="F60" s="138"/>
      <c r="G60" s="138"/>
      <c r="H60" s="139"/>
      <c r="I60" s="140"/>
      <c r="J60" s="140"/>
      <c r="L60" s="136"/>
      <c r="M60" s="136"/>
      <c r="N60" s="136"/>
      <c r="O60" s="136"/>
      <c r="P60" s="131"/>
      <c r="Q60" s="128"/>
      <c r="R60" s="128"/>
      <c r="S60" s="128"/>
    </row>
    <row r="61" spans="1:19" s="164" customFormat="1" ht="12" customHeight="1">
      <c r="A61" s="137"/>
      <c r="B61" s="133"/>
      <c r="C61" s="138"/>
      <c r="D61" s="138"/>
      <c r="E61" s="138"/>
      <c r="F61" s="138"/>
      <c r="G61" s="138"/>
      <c r="H61" s="139"/>
      <c r="I61" s="140"/>
      <c r="J61" s="140"/>
      <c r="L61" s="136"/>
      <c r="M61" s="136"/>
      <c r="N61" s="136"/>
      <c r="O61" s="136"/>
      <c r="P61" s="131"/>
      <c r="Q61" s="128"/>
      <c r="R61" s="128"/>
      <c r="S61" s="128"/>
    </row>
    <row r="62" spans="1:19" s="164" customFormat="1" ht="12" customHeight="1">
      <c r="A62" s="137"/>
      <c r="B62" s="133"/>
      <c r="C62" s="138"/>
      <c r="D62" s="138"/>
      <c r="E62" s="138"/>
      <c r="F62" s="138"/>
      <c r="G62" s="138"/>
      <c r="H62" s="139"/>
      <c r="I62" s="140"/>
      <c r="J62" s="140"/>
      <c r="L62" s="136"/>
      <c r="M62" s="136"/>
      <c r="N62" s="136"/>
      <c r="O62" s="136"/>
      <c r="P62" s="131"/>
      <c r="Q62" s="128"/>
      <c r="R62" s="128"/>
      <c r="S62" s="128"/>
    </row>
    <row r="63" spans="1:19" s="164" customFormat="1" ht="12" customHeight="1">
      <c r="A63" s="137"/>
      <c r="B63" s="133"/>
      <c r="C63" s="138"/>
      <c r="D63" s="138"/>
      <c r="E63" s="138"/>
      <c r="F63" s="138"/>
      <c r="G63" s="138"/>
      <c r="H63" s="139"/>
      <c r="I63" s="140"/>
      <c r="J63" s="140"/>
      <c r="L63" s="136"/>
      <c r="M63" s="136"/>
      <c r="N63" s="136"/>
      <c r="O63" s="136"/>
      <c r="P63" s="131"/>
      <c r="Q63" s="128"/>
      <c r="R63" s="128"/>
      <c r="S63" s="128"/>
    </row>
    <row r="64" spans="1:19" s="164" customFormat="1" ht="12" customHeight="1">
      <c r="A64" s="137"/>
      <c r="B64" s="133"/>
      <c r="C64" s="138"/>
      <c r="D64" s="138"/>
      <c r="E64" s="138"/>
      <c r="F64" s="138"/>
      <c r="G64" s="138"/>
      <c r="H64" s="139"/>
      <c r="I64" s="140"/>
      <c r="J64" s="140"/>
      <c r="L64" s="136"/>
      <c r="M64" s="136"/>
      <c r="N64" s="136"/>
      <c r="O64" s="136"/>
      <c r="P64" s="131"/>
      <c r="Q64" s="128"/>
      <c r="R64" s="128"/>
      <c r="S64" s="128"/>
    </row>
    <row r="65" spans="1:19" s="164" customFormat="1" ht="12" customHeight="1">
      <c r="A65" s="137"/>
      <c r="B65" s="133"/>
      <c r="C65" s="138"/>
      <c r="D65" s="138"/>
      <c r="E65" s="138"/>
      <c r="F65" s="138"/>
      <c r="G65" s="138"/>
      <c r="H65" s="139"/>
      <c r="I65" s="140"/>
      <c r="J65" s="140"/>
      <c r="L65" s="136"/>
      <c r="M65" s="136"/>
      <c r="N65" s="136"/>
      <c r="O65" s="136"/>
      <c r="P65" s="131"/>
      <c r="Q65" s="128"/>
      <c r="R65" s="128"/>
      <c r="S65" s="128"/>
    </row>
    <row r="66" spans="1:19" s="164" customFormat="1" ht="12" customHeight="1">
      <c r="A66" s="137"/>
      <c r="B66" s="133"/>
      <c r="C66" s="138"/>
      <c r="D66" s="138"/>
      <c r="E66" s="138"/>
      <c r="F66" s="138"/>
      <c r="G66" s="138"/>
      <c r="H66" s="139"/>
      <c r="I66" s="140"/>
      <c r="J66" s="140"/>
      <c r="L66" s="136"/>
      <c r="M66" s="136"/>
      <c r="N66" s="136"/>
      <c r="O66" s="136"/>
      <c r="P66" s="131"/>
      <c r="Q66" s="128"/>
      <c r="R66" s="128"/>
      <c r="S66" s="128"/>
    </row>
    <row r="67" spans="1:19" s="164" customFormat="1" ht="12" customHeight="1">
      <c r="A67" s="137"/>
      <c r="B67" s="133"/>
      <c r="C67" s="138"/>
      <c r="D67" s="138"/>
      <c r="E67" s="138"/>
      <c r="F67" s="138"/>
      <c r="G67" s="138"/>
      <c r="H67" s="139"/>
      <c r="I67" s="140"/>
      <c r="J67" s="140"/>
      <c r="L67" s="136"/>
      <c r="M67" s="136"/>
      <c r="N67" s="136"/>
      <c r="O67" s="136"/>
      <c r="P67" s="131"/>
      <c r="Q67" s="128"/>
      <c r="R67" s="128"/>
      <c r="S67" s="128"/>
    </row>
    <row r="68" spans="1:19" s="164" customFormat="1" ht="12" customHeight="1">
      <c r="A68" s="137"/>
      <c r="B68" s="133"/>
      <c r="C68" s="138"/>
      <c r="D68" s="138"/>
      <c r="E68" s="138"/>
      <c r="F68" s="138"/>
      <c r="G68" s="138"/>
      <c r="H68" s="139"/>
      <c r="I68" s="140"/>
      <c r="J68" s="140"/>
      <c r="L68" s="136"/>
      <c r="M68" s="136"/>
      <c r="N68" s="136"/>
      <c r="O68" s="136"/>
      <c r="P68" s="131"/>
      <c r="Q68" s="128"/>
      <c r="R68" s="128"/>
      <c r="S68" s="128"/>
    </row>
    <row r="69" spans="1:19" s="164" customFormat="1" ht="12" customHeight="1">
      <c r="A69" s="137"/>
      <c r="B69" s="133"/>
      <c r="C69" s="138"/>
      <c r="D69" s="138"/>
      <c r="E69" s="138"/>
      <c r="F69" s="138"/>
      <c r="G69" s="138"/>
      <c r="H69" s="139"/>
      <c r="I69" s="140"/>
      <c r="J69" s="140"/>
      <c r="L69" s="136"/>
      <c r="M69" s="136"/>
      <c r="N69" s="136"/>
      <c r="O69" s="136"/>
      <c r="P69" s="131"/>
      <c r="Q69" s="128"/>
      <c r="R69" s="128"/>
      <c r="S69" s="128"/>
    </row>
    <row r="70" spans="1:19" s="164" customFormat="1" ht="12" customHeight="1">
      <c r="A70" s="137"/>
      <c r="B70" s="133"/>
      <c r="C70" s="138"/>
      <c r="D70" s="138"/>
      <c r="E70" s="138"/>
      <c r="F70" s="138"/>
      <c r="G70" s="138"/>
      <c r="H70" s="139"/>
      <c r="I70" s="140"/>
      <c r="J70" s="140"/>
      <c r="L70" s="136"/>
      <c r="M70" s="136"/>
      <c r="N70" s="136"/>
      <c r="O70" s="136"/>
      <c r="P70" s="131"/>
      <c r="Q70" s="128"/>
      <c r="R70" s="128"/>
      <c r="S70" s="128"/>
    </row>
    <row r="71" spans="1:19" s="164" customFormat="1" ht="12" customHeight="1">
      <c r="A71" s="137"/>
      <c r="B71" s="133"/>
      <c r="C71" s="138"/>
      <c r="D71" s="138"/>
      <c r="E71" s="138"/>
      <c r="F71" s="138"/>
      <c r="G71" s="138"/>
      <c r="H71" s="139"/>
      <c r="I71" s="140"/>
      <c r="J71" s="140"/>
      <c r="L71" s="136"/>
      <c r="M71" s="136"/>
      <c r="N71" s="136"/>
      <c r="O71" s="136"/>
      <c r="P71" s="131"/>
      <c r="Q71" s="128"/>
      <c r="R71" s="128"/>
      <c r="S71" s="128"/>
    </row>
    <row r="72" spans="1:19" s="164" customFormat="1" ht="12" customHeight="1">
      <c r="A72" s="137"/>
      <c r="B72" s="133"/>
      <c r="C72" s="138"/>
      <c r="D72" s="138"/>
      <c r="E72" s="138"/>
      <c r="F72" s="138"/>
      <c r="G72" s="138"/>
      <c r="H72" s="139"/>
      <c r="I72" s="140"/>
      <c r="J72" s="140"/>
      <c r="L72" s="136"/>
      <c r="M72" s="136"/>
      <c r="N72" s="136"/>
      <c r="O72" s="136"/>
      <c r="P72" s="131"/>
      <c r="Q72" s="128"/>
      <c r="R72" s="128"/>
      <c r="S72" s="128"/>
    </row>
    <row r="73" spans="1:19" s="164" customFormat="1" ht="12" customHeight="1">
      <c r="A73" s="137"/>
      <c r="B73" s="133"/>
      <c r="C73" s="138"/>
      <c r="D73" s="138"/>
      <c r="E73" s="138"/>
      <c r="F73" s="138"/>
      <c r="G73" s="138"/>
      <c r="H73" s="139"/>
      <c r="I73" s="140"/>
      <c r="J73" s="140"/>
      <c r="L73" s="136"/>
      <c r="M73" s="136"/>
      <c r="N73" s="136"/>
      <c r="O73" s="136"/>
      <c r="P73" s="131"/>
      <c r="Q73" s="128"/>
      <c r="R73" s="128"/>
      <c r="S73" s="128"/>
    </row>
    <row r="74" spans="1:19" s="164" customFormat="1" ht="12" customHeight="1">
      <c r="A74" s="137"/>
      <c r="B74" s="133"/>
      <c r="C74" s="138"/>
      <c r="D74" s="138"/>
      <c r="E74" s="138"/>
      <c r="F74" s="138"/>
      <c r="G74" s="138"/>
      <c r="H74" s="139"/>
      <c r="I74" s="140"/>
      <c r="J74" s="140"/>
      <c r="L74" s="136"/>
      <c r="M74" s="136"/>
      <c r="N74" s="136"/>
      <c r="O74" s="136"/>
      <c r="P74" s="131"/>
      <c r="Q74" s="128"/>
      <c r="R74" s="128"/>
      <c r="S74" s="128"/>
    </row>
    <row r="75" spans="1:19" s="164" customFormat="1" ht="12" customHeight="1">
      <c r="A75" s="137"/>
      <c r="B75" s="133"/>
      <c r="C75" s="138"/>
      <c r="D75" s="138"/>
      <c r="E75" s="138"/>
      <c r="F75" s="138"/>
      <c r="G75" s="138"/>
      <c r="H75" s="139"/>
      <c r="I75" s="140"/>
      <c r="J75" s="140"/>
      <c r="L75" s="136"/>
      <c r="M75" s="136"/>
      <c r="N75" s="136"/>
      <c r="O75" s="136"/>
      <c r="P75" s="131"/>
      <c r="Q75" s="128"/>
      <c r="R75" s="128"/>
      <c r="S75" s="128"/>
    </row>
    <row r="76" spans="1:19" s="164" customFormat="1" ht="12" customHeight="1">
      <c r="A76" s="137"/>
      <c r="B76" s="133"/>
      <c r="C76" s="138"/>
      <c r="D76" s="138"/>
      <c r="E76" s="138"/>
      <c r="F76" s="138"/>
      <c r="G76" s="138"/>
      <c r="H76" s="139"/>
      <c r="I76" s="140"/>
      <c r="J76" s="140"/>
      <c r="L76" s="136"/>
      <c r="M76" s="136"/>
      <c r="N76" s="136"/>
      <c r="O76" s="136"/>
      <c r="P76" s="131"/>
      <c r="Q76" s="128"/>
      <c r="R76" s="128"/>
      <c r="S76" s="128"/>
    </row>
    <row r="77" spans="1:19" s="164" customFormat="1" ht="12" customHeight="1">
      <c r="A77" s="137"/>
      <c r="B77" s="133"/>
      <c r="C77" s="138"/>
      <c r="D77" s="138"/>
      <c r="E77" s="138"/>
      <c r="F77" s="138"/>
      <c r="G77" s="138"/>
      <c r="H77" s="139"/>
      <c r="I77" s="140"/>
      <c r="J77" s="140"/>
      <c r="L77" s="136"/>
      <c r="M77" s="136"/>
      <c r="N77" s="136"/>
      <c r="O77" s="136"/>
      <c r="P77" s="131"/>
      <c r="Q77" s="128"/>
      <c r="R77" s="128"/>
      <c r="S77" s="128"/>
    </row>
    <row r="78" spans="1:19" s="164" customFormat="1" ht="12" customHeight="1">
      <c r="A78" s="137"/>
      <c r="B78" s="133"/>
      <c r="C78" s="138"/>
      <c r="D78" s="138"/>
      <c r="E78" s="138"/>
      <c r="F78" s="138"/>
      <c r="G78" s="138"/>
      <c r="H78" s="139"/>
      <c r="I78" s="140"/>
      <c r="J78" s="140"/>
      <c r="L78" s="136"/>
      <c r="M78" s="136"/>
      <c r="N78" s="136"/>
      <c r="O78" s="136"/>
      <c r="P78" s="131"/>
      <c r="Q78" s="128"/>
      <c r="R78" s="128"/>
      <c r="S78" s="128"/>
    </row>
    <row r="79" spans="1:19" s="164" customFormat="1" ht="12" customHeight="1">
      <c r="A79" s="137"/>
      <c r="B79" s="133"/>
      <c r="C79" s="138"/>
      <c r="D79" s="138"/>
      <c r="E79" s="138"/>
      <c r="F79" s="138"/>
      <c r="G79" s="138"/>
      <c r="H79" s="139"/>
      <c r="I79" s="140"/>
      <c r="J79" s="140"/>
      <c r="L79" s="136"/>
      <c r="M79" s="136"/>
      <c r="N79" s="136"/>
      <c r="O79" s="136"/>
      <c r="P79" s="131"/>
      <c r="Q79" s="128"/>
      <c r="R79" s="128"/>
      <c r="S79" s="128"/>
    </row>
    <row r="80" spans="1:19" s="164" customFormat="1" ht="12" customHeight="1">
      <c r="A80" s="137"/>
      <c r="B80" s="133"/>
      <c r="C80" s="138"/>
      <c r="D80" s="138"/>
      <c r="E80" s="138"/>
      <c r="F80" s="138"/>
      <c r="G80" s="138"/>
      <c r="H80" s="139"/>
      <c r="I80" s="140"/>
      <c r="J80" s="140"/>
      <c r="L80" s="136"/>
      <c r="M80" s="136"/>
      <c r="N80" s="136"/>
      <c r="O80" s="136"/>
      <c r="P80" s="131"/>
      <c r="Q80" s="128"/>
      <c r="R80" s="128"/>
      <c r="S80" s="128"/>
    </row>
    <row r="81" spans="1:19" s="164" customFormat="1" ht="12" customHeight="1">
      <c r="A81" s="137"/>
      <c r="B81" s="133"/>
      <c r="C81" s="138"/>
      <c r="D81" s="138"/>
      <c r="E81" s="138"/>
      <c r="F81" s="138"/>
      <c r="G81" s="138"/>
      <c r="H81" s="139"/>
      <c r="I81" s="140"/>
      <c r="J81" s="140"/>
      <c r="L81" s="136"/>
      <c r="M81" s="136"/>
      <c r="N81" s="136"/>
      <c r="O81" s="136"/>
      <c r="P81" s="131"/>
      <c r="Q81" s="128"/>
      <c r="R81" s="128"/>
      <c r="S81" s="128"/>
    </row>
    <row r="82" spans="1:19" s="164" customFormat="1" ht="12" customHeight="1">
      <c r="A82" s="137"/>
      <c r="B82" s="133"/>
      <c r="C82" s="138"/>
      <c r="D82" s="138"/>
      <c r="E82" s="138"/>
      <c r="F82" s="138"/>
      <c r="G82" s="138"/>
      <c r="H82" s="139"/>
      <c r="I82" s="140"/>
      <c r="J82" s="140"/>
      <c r="L82" s="136"/>
      <c r="M82" s="136"/>
      <c r="N82" s="136"/>
      <c r="O82" s="136"/>
      <c r="P82" s="131"/>
      <c r="Q82" s="128"/>
      <c r="R82" s="128"/>
      <c r="S82" s="128"/>
    </row>
    <row r="83" spans="1:19" s="164" customFormat="1" ht="12" customHeight="1">
      <c r="A83" s="137"/>
      <c r="B83" s="133"/>
      <c r="C83" s="138"/>
      <c r="D83" s="138"/>
      <c r="E83" s="138"/>
      <c r="F83" s="138"/>
      <c r="G83" s="138"/>
      <c r="H83" s="139"/>
      <c r="I83" s="140"/>
      <c r="J83" s="140"/>
      <c r="L83" s="136"/>
      <c r="M83" s="136"/>
      <c r="N83" s="136"/>
      <c r="O83" s="136"/>
      <c r="P83" s="131"/>
      <c r="Q83" s="128"/>
      <c r="R83" s="128"/>
      <c r="S83" s="128"/>
    </row>
    <row r="84" spans="1:19" s="164" customFormat="1" ht="12" customHeight="1">
      <c r="A84" s="137"/>
      <c r="B84" s="133"/>
      <c r="C84" s="138"/>
      <c r="D84" s="138"/>
      <c r="E84" s="138"/>
      <c r="F84" s="138"/>
      <c r="G84" s="138"/>
      <c r="H84" s="139"/>
      <c r="I84" s="140"/>
      <c r="J84" s="140"/>
      <c r="L84" s="136"/>
      <c r="M84" s="136"/>
      <c r="N84" s="136"/>
      <c r="O84" s="136"/>
      <c r="P84" s="131"/>
      <c r="Q84" s="128"/>
      <c r="R84" s="128"/>
      <c r="S84" s="128"/>
    </row>
    <row r="85" spans="1:19" s="164" customFormat="1" ht="12" customHeight="1">
      <c r="A85" s="137"/>
      <c r="B85" s="133"/>
      <c r="C85" s="138"/>
      <c r="D85" s="138"/>
      <c r="E85" s="138"/>
      <c r="F85" s="138"/>
      <c r="G85" s="138"/>
      <c r="H85" s="139"/>
      <c r="I85" s="140"/>
      <c r="J85" s="140"/>
      <c r="L85" s="136"/>
      <c r="M85" s="136"/>
      <c r="N85" s="136"/>
      <c r="O85" s="136"/>
      <c r="P85" s="131"/>
      <c r="Q85" s="128"/>
      <c r="R85" s="128"/>
      <c r="S85" s="128"/>
    </row>
    <row r="86" spans="1:19" s="164" customFormat="1" ht="12" customHeight="1">
      <c r="A86" s="137"/>
      <c r="B86" s="133"/>
      <c r="C86" s="138"/>
      <c r="D86" s="138"/>
      <c r="E86" s="138"/>
      <c r="F86" s="138"/>
      <c r="G86" s="138"/>
      <c r="H86" s="139"/>
      <c r="I86" s="140"/>
      <c r="J86" s="140"/>
      <c r="L86" s="136"/>
      <c r="M86" s="136"/>
      <c r="N86" s="136"/>
      <c r="O86" s="136"/>
      <c r="P86" s="131"/>
      <c r="Q86" s="128"/>
      <c r="R86" s="128"/>
      <c r="S86" s="128"/>
    </row>
    <row r="87" spans="1:19" s="164" customFormat="1" ht="12" customHeight="1">
      <c r="A87" s="137"/>
      <c r="B87" s="133"/>
      <c r="C87" s="138"/>
      <c r="D87" s="138"/>
      <c r="E87" s="138"/>
      <c r="F87" s="138"/>
      <c r="G87" s="138"/>
      <c r="H87" s="139"/>
      <c r="I87" s="140"/>
      <c r="J87" s="140"/>
      <c r="L87" s="136"/>
      <c r="M87" s="136"/>
      <c r="N87" s="136"/>
      <c r="O87" s="136"/>
      <c r="P87" s="131"/>
      <c r="Q87" s="128"/>
      <c r="R87" s="128"/>
      <c r="S87" s="128"/>
    </row>
    <row r="88" spans="1:19" s="164" customFormat="1" ht="12" customHeight="1">
      <c r="A88" s="137"/>
      <c r="B88" s="133"/>
      <c r="C88" s="138"/>
      <c r="D88" s="138"/>
      <c r="E88" s="138"/>
      <c r="F88" s="138"/>
      <c r="G88" s="138"/>
      <c r="H88" s="139"/>
      <c r="I88" s="140"/>
      <c r="J88" s="140"/>
      <c r="L88" s="136"/>
      <c r="M88" s="136"/>
      <c r="N88" s="136"/>
      <c r="O88" s="136"/>
      <c r="P88" s="131"/>
      <c r="Q88" s="128"/>
      <c r="R88" s="128"/>
      <c r="S88" s="128"/>
    </row>
    <row r="89" spans="1:19" s="164" customFormat="1" ht="12" customHeight="1">
      <c r="A89" s="137"/>
      <c r="B89" s="133"/>
      <c r="C89" s="138"/>
      <c r="D89" s="138"/>
      <c r="E89" s="138"/>
      <c r="F89" s="138"/>
      <c r="G89" s="138"/>
      <c r="H89" s="139"/>
      <c r="I89" s="140"/>
      <c r="J89" s="140"/>
      <c r="L89" s="136"/>
      <c r="M89" s="136"/>
      <c r="N89" s="136"/>
      <c r="O89" s="136"/>
      <c r="P89" s="131"/>
      <c r="Q89" s="128"/>
      <c r="R89" s="128"/>
      <c r="S89" s="128"/>
    </row>
    <row r="90" spans="1:19" s="164" customFormat="1" ht="12" customHeight="1">
      <c r="A90" s="137"/>
      <c r="B90" s="133"/>
      <c r="C90" s="138"/>
      <c r="D90" s="138"/>
      <c r="E90" s="138"/>
      <c r="F90" s="138"/>
      <c r="G90" s="138"/>
      <c r="H90" s="139"/>
      <c r="I90" s="140"/>
      <c r="J90" s="140"/>
      <c r="L90" s="136"/>
      <c r="M90" s="136"/>
      <c r="N90" s="136"/>
      <c r="O90" s="136"/>
      <c r="P90" s="131"/>
      <c r="Q90" s="128"/>
      <c r="R90" s="128"/>
      <c r="S90" s="128"/>
    </row>
    <row r="91" spans="1:19" s="164" customFormat="1" ht="12" customHeight="1">
      <c r="A91" s="137"/>
      <c r="B91" s="133"/>
      <c r="C91" s="138"/>
      <c r="D91" s="138"/>
      <c r="E91" s="138"/>
      <c r="F91" s="138"/>
      <c r="G91" s="138"/>
      <c r="H91" s="139"/>
      <c r="I91" s="140"/>
      <c r="J91" s="140"/>
      <c r="L91" s="136"/>
      <c r="M91" s="136"/>
      <c r="N91" s="136"/>
      <c r="O91" s="136"/>
      <c r="P91" s="131"/>
      <c r="Q91" s="128"/>
      <c r="R91" s="128"/>
      <c r="S91" s="128"/>
    </row>
    <row r="92" spans="1:19" s="164" customFormat="1" ht="12" customHeight="1">
      <c r="A92" s="137"/>
      <c r="B92" s="133"/>
      <c r="C92" s="138"/>
      <c r="D92" s="138"/>
      <c r="E92" s="138"/>
      <c r="F92" s="138"/>
      <c r="G92" s="138"/>
      <c r="H92" s="139"/>
      <c r="I92" s="140"/>
      <c r="J92" s="140"/>
      <c r="L92" s="136"/>
      <c r="M92" s="136"/>
      <c r="N92" s="136"/>
      <c r="O92" s="136"/>
      <c r="P92" s="131"/>
      <c r="Q92" s="128"/>
      <c r="R92" s="128"/>
      <c r="S92" s="128"/>
    </row>
    <row r="93" spans="1:19" s="164" customFormat="1" ht="12" customHeight="1">
      <c r="A93" s="137"/>
      <c r="B93" s="133"/>
      <c r="C93" s="138"/>
      <c r="D93" s="138"/>
      <c r="E93" s="138"/>
      <c r="F93" s="138"/>
      <c r="G93" s="138"/>
      <c r="H93" s="139"/>
      <c r="I93" s="140"/>
      <c r="J93" s="140"/>
      <c r="L93" s="136"/>
      <c r="M93" s="136"/>
      <c r="N93" s="136"/>
      <c r="O93" s="136"/>
      <c r="P93" s="131"/>
      <c r="Q93" s="128"/>
      <c r="R93" s="128"/>
      <c r="S93" s="128"/>
    </row>
    <row r="94" spans="1:19" s="164" customFormat="1" ht="12" customHeight="1">
      <c r="A94" s="137"/>
      <c r="B94" s="133"/>
      <c r="C94" s="138"/>
      <c r="D94" s="138"/>
      <c r="E94" s="138"/>
      <c r="F94" s="138"/>
      <c r="G94" s="138"/>
      <c r="H94" s="139"/>
      <c r="I94" s="140"/>
      <c r="J94" s="140"/>
      <c r="L94" s="136"/>
      <c r="M94" s="136"/>
      <c r="N94" s="136"/>
      <c r="O94" s="136"/>
      <c r="P94" s="131"/>
      <c r="Q94" s="128"/>
      <c r="R94" s="128"/>
      <c r="S94" s="128"/>
    </row>
    <row r="95" spans="1:19" s="164" customFormat="1" ht="12" customHeight="1">
      <c r="A95" s="137"/>
      <c r="B95" s="133"/>
      <c r="C95" s="138"/>
      <c r="D95" s="138"/>
      <c r="E95" s="138"/>
      <c r="F95" s="138"/>
      <c r="G95" s="138"/>
      <c r="H95" s="139"/>
      <c r="I95" s="140"/>
      <c r="J95" s="140"/>
      <c r="L95" s="136"/>
      <c r="M95" s="136"/>
      <c r="N95" s="136"/>
      <c r="O95" s="136"/>
      <c r="P95" s="131"/>
      <c r="Q95" s="128"/>
      <c r="R95" s="128"/>
      <c r="S95" s="128"/>
    </row>
    <row r="96" spans="1:19" s="164" customFormat="1" ht="12" customHeight="1">
      <c r="A96" s="137"/>
      <c r="B96" s="133"/>
      <c r="C96" s="138"/>
      <c r="D96" s="138"/>
      <c r="E96" s="138"/>
      <c r="F96" s="138"/>
      <c r="G96" s="138"/>
      <c r="H96" s="139"/>
      <c r="I96" s="140"/>
      <c r="J96" s="140"/>
      <c r="L96" s="136"/>
      <c r="M96" s="136"/>
      <c r="N96" s="136"/>
      <c r="O96" s="136"/>
      <c r="P96" s="131"/>
      <c r="Q96" s="128"/>
      <c r="R96" s="128"/>
      <c r="S96" s="128"/>
    </row>
    <row r="97" spans="1:19" s="164" customFormat="1" ht="12" customHeight="1">
      <c r="A97" s="137"/>
      <c r="B97" s="133"/>
      <c r="C97" s="138"/>
      <c r="D97" s="138"/>
      <c r="E97" s="138"/>
      <c r="F97" s="138"/>
      <c r="G97" s="138"/>
      <c r="H97" s="139"/>
      <c r="I97" s="140"/>
      <c r="J97" s="140"/>
      <c r="L97" s="136"/>
      <c r="M97" s="136"/>
      <c r="N97" s="136"/>
      <c r="O97" s="136"/>
      <c r="P97" s="131"/>
      <c r="Q97" s="128"/>
      <c r="R97" s="128"/>
      <c r="S97" s="128"/>
    </row>
    <row r="98" spans="1:19" s="164" customFormat="1" ht="12" customHeight="1">
      <c r="A98" s="137"/>
      <c r="B98" s="133"/>
      <c r="C98" s="138"/>
      <c r="D98" s="138"/>
      <c r="E98" s="138"/>
      <c r="F98" s="138"/>
      <c r="G98" s="138"/>
      <c r="H98" s="139"/>
      <c r="I98" s="140"/>
      <c r="J98" s="140"/>
      <c r="L98" s="136"/>
      <c r="M98" s="136"/>
      <c r="N98" s="136"/>
      <c r="O98" s="136"/>
      <c r="P98" s="131"/>
      <c r="Q98" s="128"/>
      <c r="R98" s="128"/>
      <c r="S98" s="128"/>
    </row>
    <row r="99" spans="1:19" s="164" customFormat="1" ht="12" customHeight="1">
      <c r="A99" s="137"/>
      <c r="B99" s="133"/>
      <c r="C99" s="138"/>
      <c r="D99" s="138"/>
      <c r="E99" s="138"/>
      <c r="F99" s="138"/>
      <c r="G99" s="138"/>
      <c r="H99" s="139"/>
      <c r="I99" s="140"/>
      <c r="J99" s="140"/>
      <c r="L99" s="136"/>
      <c r="M99" s="136"/>
      <c r="N99" s="136"/>
      <c r="O99" s="136"/>
      <c r="P99" s="131"/>
      <c r="Q99" s="128"/>
      <c r="R99" s="128"/>
      <c r="S99" s="128"/>
    </row>
    <row r="100" spans="1:19" s="164" customFormat="1" ht="12" customHeight="1">
      <c r="A100" s="137"/>
      <c r="B100" s="133"/>
      <c r="C100" s="138"/>
      <c r="D100" s="138"/>
      <c r="E100" s="138"/>
      <c r="F100" s="138"/>
      <c r="G100" s="138"/>
      <c r="H100" s="139"/>
      <c r="I100" s="140"/>
      <c r="J100" s="140"/>
      <c r="L100" s="136"/>
      <c r="M100" s="136"/>
      <c r="N100" s="136"/>
      <c r="O100" s="136"/>
      <c r="P100" s="131"/>
      <c r="Q100" s="128"/>
      <c r="R100" s="128"/>
      <c r="S100" s="128"/>
    </row>
    <row r="101" spans="1:19" s="164" customFormat="1" ht="12" customHeight="1">
      <c r="A101" s="137"/>
      <c r="B101" s="133"/>
      <c r="C101" s="138"/>
      <c r="D101" s="138"/>
      <c r="E101" s="138"/>
      <c r="F101" s="138"/>
      <c r="G101" s="138"/>
      <c r="H101" s="139"/>
      <c r="I101" s="140"/>
      <c r="J101" s="140"/>
      <c r="L101" s="136"/>
      <c r="M101" s="136"/>
      <c r="N101" s="136"/>
      <c r="O101" s="136"/>
      <c r="P101" s="131"/>
      <c r="Q101" s="128"/>
      <c r="R101" s="128"/>
      <c r="S101" s="128"/>
    </row>
    <row r="102" spans="1:19" s="164" customFormat="1" ht="12" customHeight="1">
      <c r="A102" s="137"/>
      <c r="B102" s="133"/>
      <c r="C102" s="138"/>
      <c r="D102" s="138"/>
      <c r="E102" s="138"/>
      <c r="F102" s="138"/>
      <c r="G102" s="138"/>
      <c r="H102" s="139"/>
      <c r="I102" s="140"/>
      <c r="J102" s="140"/>
      <c r="L102" s="136"/>
      <c r="M102" s="136"/>
      <c r="N102" s="136"/>
      <c r="O102" s="136"/>
      <c r="P102" s="131"/>
      <c r="Q102" s="128"/>
      <c r="R102" s="128"/>
      <c r="S102" s="128"/>
    </row>
    <row r="103" spans="1:19" s="164" customFormat="1" ht="12" customHeight="1">
      <c r="A103" s="137"/>
      <c r="B103" s="133"/>
      <c r="C103" s="138"/>
      <c r="D103" s="138"/>
      <c r="E103" s="138"/>
      <c r="F103" s="138"/>
      <c r="G103" s="138"/>
      <c r="H103" s="139"/>
      <c r="I103" s="140"/>
      <c r="J103" s="140"/>
      <c r="L103" s="136"/>
      <c r="M103" s="136"/>
      <c r="N103" s="136"/>
      <c r="O103" s="136"/>
      <c r="P103" s="131"/>
      <c r="Q103" s="128"/>
      <c r="R103" s="128"/>
      <c r="S103" s="128"/>
    </row>
    <row r="104" spans="1:19" s="164" customFormat="1" ht="12" customHeight="1">
      <c r="A104" s="137"/>
      <c r="B104" s="133"/>
      <c r="C104" s="138"/>
      <c r="D104" s="138"/>
      <c r="E104" s="138"/>
      <c r="F104" s="138"/>
      <c r="G104" s="138"/>
      <c r="H104" s="139"/>
      <c r="I104" s="140"/>
      <c r="J104" s="140"/>
      <c r="L104" s="136"/>
      <c r="M104" s="136"/>
      <c r="N104" s="136"/>
      <c r="O104" s="136"/>
      <c r="P104" s="131"/>
      <c r="Q104" s="128"/>
      <c r="R104" s="128"/>
      <c r="S104" s="128"/>
    </row>
    <row r="105" spans="1:19" s="164" customFormat="1" ht="12" customHeight="1">
      <c r="A105" s="137"/>
      <c r="B105" s="133"/>
      <c r="C105" s="138"/>
      <c r="D105" s="138"/>
      <c r="E105" s="138"/>
      <c r="F105" s="138"/>
      <c r="G105" s="138"/>
      <c r="H105" s="139"/>
      <c r="I105" s="140"/>
      <c r="J105" s="140"/>
      <c r="L105" s="136"/>
      <c r="M105" s="136"/>
      <c r="N105" s="136"/>
      <c r="O105" s="136"/>
      <c r="P105" s="131"/>
      <c r="Q105" s="128"/>
      <c r="R105" s="128"/>
      <c r="S105" s="128"/>
    </row>
    <row r="106" spans="1:19" s="164" customFormat="1" ht="12" customHeight="1">
      <c r="A106" s="137"/>
      <c r="B106" s="133"/>
      <c r="C106" s="138"/>
      <c r="D106" s="138"/>
      <c r="E106" s="138"/>
      <c r="F106" s="138"/>
      <c r="G106" s="138"/>
      <c r="H106" s="139"/>
      <c r="I106" s="140"/>
      <c r="J106" s="140"/>
      <c r="L106" s="136"/>
      <c r="M106" s="136"/>
      <c r="N106" s="136"/>
      <c r="O106" s="136"/>
      <c r="P106" s="131"/>
      <c r="Q106" s="128"/>
      <c r="R106" s="128"/>
      <c r="S106" s="128"/>
    </row>
    <row r="107" spans="1:19" s="164" customFormat="1" ht="12" customHeight="1">
      <c r="A107" s="137"/>
      <c r="B107" s="133"/>
      <c r="C107" s="138"/>
      <c r="D107" s="138"/>
      <c r="E107" s="138"/>
      <c r="F107" s="138"/>
      <c r="G107" s="138"/>
      <c r="H107" s="139"/>
      <c r="I107" s="140"/>
      <c r="J107" s="140"/>
      <c r="L107" s="136"/>
      <c r="M107" s="136"/>
      <c r="N107" s="136"/>
      <c r="O107" s="136"/>
      <c r="P107" s="131"/>
      <c r="Q107" s="128"/>
      <c r="R107" s="128"/>
      <c r="S107" s="128"/>
    </row>
    <row r="108" spans="1:19" s="164" customFormat="1" ht="12" customHeight="1">
      <c r="A108" s="137"/>
      <c r="B108" s="133"/>
      <c r="C108" s="138"/>
      <c r="D108" s="138"/>
      <c r="E108" s="138"/>
      <c r="F108" s="138"/>
      <c r="G108" s="138"/>
      <c r="H108" s="139"/>
      <c r="I108" s="140"/>
      <c r="J108" s="140"/>
      <c r="L108" s="136"/>
      <c r="M108" s="136"/>
      <c r="N108" s="136"/>
      <c r="O108" s="136"/>
      <c r="P108" s="131"/>
      <c r="Q108" s="128"/>
      <c r="R108" s="128"/>
      <c r="S108" s="128"/>
    </row>
    <row r="109" spans="1:19" s="164" customFormat="1" ht="12" customHeight="1">
      <c r="A109" s="137"/>
      <c r="B109" s="133"/>
      <c r="C109" s="138"/>
      <c r="D109" s="138"/>
      <c r="E109" s="138"/>
      <c r="F109" s="138"/>
      <c r="G109" s="138"/>
      <c r="H109" s="139"/>
      <c r="I109" s="140"/>
      <c r="J109" s="140"/>
      <c r="L109" s="136"/>
      <c r="M109" s="136"/>
      <c r="N109" s="136"/>
      <c r="O109" s="136"/>
      <c r="P109" s="131"/>
      <c r="Q109" s="128"/>
      <c r="R109" s="128"/>
      <c r="S109" s="128"/>
    </row>
    <row r="110" spans="1:19" s="164" customFormat="1" ht="12" customHeight="1">
      <c r="A110" s="137"/>
      <c r="B110" s="133"/>
      <c r="C110" s="138"/>
      <c r="D110" s="138"/>
      <c r="E110" s="138"/>
      <c r="F110" s="138"/>
      <c r="G110" s="138"/>
      <c r="H110" s="139"/>
      <c r="I110" s="140"/>
      <c r="J110" s="140"/>
      <c r="L110" s="136"/>
      <c r="M110" s="136"/>
      <c r="N110" s="136"/>
      <c r="O110" s="136"/>
      <c r="P110" s="131"/>
      <c r="Q110" s="128"/>
      <c r="R110" s="128"/>
      <c r="S110" s="128"/>
    </row>
    <row r="111" spans="1:19" s="164" customFormat="1" ht="12" customHeight="1">
      <c r="A111" s="137"/>
      <c r="B111" s="133"/>
      <c r="C111" s="138"/>
      <c r="D111" s="138"/>
      <c r="E111" s="138"/>
      <c r="F111" s="138"/>
      <c r="G111" s="138"/>
      <c r="H111" s="139"/>
      <c r="I111" s="140"/>
      <c r="J111" s="140"/>
      <c r="L111" s="136"/>
      <c r="M111" s="136"/>
      <c r="N111" s="136"/>
      <c r="O111" s="136"/>
      <c r="P111" s="131"/>
      <c r="Q111" s="128"/>
      <c r="R111" s="128"/>
      <c r="S111" s="128"/>
    </row>
    <row r="112" spans="1:19" s="164" customFormat="1" ht="12" customHeight="1">
      <c r="A112" s="137"/>
      <c r="B112" s="133"/>
      <c r="C112" s="138"/>
      <c r="D112" s="138"/>
      <c r="E112" s="138"/>
      <c r="F112" s="138"/>
      <c r="G112" s="138"/>
      <c r="H112" s="139"/>
      <c r="I112" s="140"/>
      <c r="J112" s="140"/>
      <c r="L112" s="136"/>
      <c r="M112" s="136"/>
      <c r="N112" s="136"/>
      <c r="O112" s="136"/>
      <c r="P112" s="131"/>
      <c r="Q112" s="128"/>
      <c r="R112" s="128"/>
      <c r="S112" s="128"/>
    </row>
    <row r="113" spans="1:19" s="164" customFormat="1" ht="12" customHeight="1">
      <c r="A113" s="137"/>
      <c r="B113" s="133"/>
      <c r="C113" s="138"/>
      <c r="D113" s="138"/>
      <c r="E113" s="138"/>
      <c r="F113" s="138"/>
      <c r="G113" s="138"/>
      <c r="H113" s="139"/>
      <c r="I113" s="140"/>
      <c r="J113" s="140"/>
      <c r="L113" s="136"/>
      <c r="M113" s="136"/>
      <c r="N113" s="136"/>
      <c r="O113" s="136"/>
      <c r="P113" s="131"/>
      <c r="Q113" s="128"/>
      <c r="R113" s="128"/>
      <c r="S113" s="128"/>
    </row>
    <row r="114" spans="1:19" s="164" customFormat="1" ht="12" customHeight="1">
      <c r="A114" s="137"/>
      <c r="B114" s="133"/>
      <c r="C114" s="138"/>
      <c r="D114" s="138"/>
      <c r="E114" s="138"/>
      <c r="F114" s="138"/>
      <c r="G114" s="138"/>
      <c r="H114" s="139"/>
      <c r="I114" s="140"/>
      <c r="J114" s="140"/>
      <c r="L114" s="136"/>
      <c r="M114" s="136"/>
      <c r="N114" s="136"/>
      <c r="O114" s="136"/>
      <c r="P114" s="131"/>
      <c r="Q114" s="128"/>
      <c r="R114" s="128"/>
      <c r="S114" s="128"/>
    </row>
    <row r="115" spans="1:19" s="164" customFormat="1" ht="12" customHeight="1">
      <c r="A115" s="137"/>
      <c r="B115" s="133"/>
      <c r="C115" s="138"/>
      <c r="D115" s="138"/>
      <c r="E115" s="138"/>
      <c r="F115" s="138"/>
      <c r="G115" s="138"/>
      <c r="H115" s="139"/>
      <c r="I115" s="140"/>
      <c r="J115" s="140"/>
      <c r="L115" s="136"/>
      <c r="M115" s="136"/>
      <c r="N115" s="136"/>
      <c r="O115" s="136"/>
      <c r="P115" s="131"/>
      <c r="Q115" s="128"/>
      <c r="R115" s="128"/>
      <c r="S115" s="128"/>
    </row>
    <row r="116" spans="1:19" s="164" customFormat="1" ht="12" customHeight="1">
      <c r="A116" s="137"/>
      <c r="B116" s="133"/>
      <c r="C116" s="138"/>
      <c r="D116" s="138"/>
      <c r="E116" s="138"/>
      <c r="F116" s="138"/>
      <c r="G116" s="138"/>
      <c r="H116" s="139"/>
      <c r="I116" s="140"/>
      <c r="J116" s="140"/>
      <c r="L116" s="136"/>
      <c r="M116" s="136"/>
      <c r="N116" s="136"/>
      <c r="O116" s="136"/>
      <c r="P116" s="131"/>
      <c r="Q116" s="128"/>
      <c r="R116" s="128"/>
      <c r="S116" s="128"/>
    </row>
    <row r="117" spans="1:19" s="164" customFormat="1" ht="12" customHeight="1">
      <c r="A117" s="137"/>
      <c r="B117" s="133"/>
      <c r="C117" s="138"/>
      <c r="D117" s="138"/>
      <c r="E117" s="138"/>
      <c r="F117" s="138"/>
      <c r="G117" s="138"/>
      <c r="H117" s="139"/>
      <c r="I117" s="140"/>
      <c r="J117" s="140"/>
      <c r="L117" s="136"/>
      <c r="M117" s="136"/>
      <c r="N117" s="136"/>
      <c r="O117" s="136"/>
      <c r="P117" s="131"/>
      <c r="Q117" s="128"/>
      <c r="R117" s="128"/>
      <c r="S117" s="128"/>
    </row>
    <row r="118" spans="1:19" s="164" customFormat="1" ht="12" customHeight="1">
      <c r="A118" s="137"/>
      <c r="B118" s="133"/>
      <c r="C118" s="138"/>
      <c r="D118" s="138"/>
      <c r="E118" s="138"/>
      <c r="F118" s="138"/>
      <c r="G118" s="138"/>
      <c r="H118" s="139"/>
      <c r="I118" s="140"/>
      <c r="J118" s="140"/>
      <c r="L118" s="136"/>
      <c r="M118" s="136"/>
      <c r="N118" s="136"/>
      <c r="O118" s="136"/>
      <c r="P118" s="131"/>
      <c r="Q118" s="128"/>
      <c r="R118" s="128"/>
      <c r="S118" s="128"/>
    </row>
    <row r="119" spans="1:19" s="164" customFormat="1" ht="12" customHeight="1">
      <c r="A119" s="137"/>
      <c r="B119" s="133"/>
      <c r="C119" s="138"/>
      <c r="D119" s="138"/>
      <c r="E119" s="138"/>
      <c r="F119" s="138"/>
      <c r="G119" s="138"/>
      <c r="H119" s="139"/>
      <c r="I119" s="140"/>
      <c r="J119" s="140"/>
      <c r="L119" s="136"/>
      <c r="M119" s="136"/>
      <c r="N119" s="136"/>
      <c r="O119" s="136"/>
      <c r="P119" s="131"/>
      <c r="Q119" s="128"/>
      <c r="R119" s="128"/>
      <c r="S119" s="128"/>
    </row>
    <row r="120" spans="1:19" s="164" customFormat="1" ht="12" customHeight="1">
      <c r="A120" s="137"/>
      <c r="B120" s="133"/>
      <c r="C120" s="138"/>
      <c r="D120" s="138"/>
      <c r="E120" s="138"/>
      <c r="F120" s="138"/>
      <c r="G120" s="138"/>
      <c r="H120" s="139"/>
      <c r="I120" s="140"/>
      <c r="J120" s="140"/>
      <c r="L120" s="136"/>
      <c r="M120" s="136"/>
      <c r="N120" s="136"/>
      <c r="O120" s="136"/>
      <c r="P120" s="131"/>
      <c r="Q120" s="128"/>
      <c r="R120" s="128"/>
      <c r="S120" s="128"/>
    </row>
    <row r="121" spans="1:19" s="164" customFormat="1" ht="12" customHeight="1">
      <c r="A121" s="137"/>
      <c r="B121" s="133"/>
      <c r="C121" s="138"/>
      <c r="D121" s="138"/>
      <c r="E121" s="138"/>
      <c r="F121" s="138"/>
      <c r="G121" s="138"/>
      <c r="H121" s="139"/>
      <c r="I121" s="140"/>
      <c r="J121" s="140"/>
      <c r="L121" s="136"/>
      <c r="M121" s="136"/>
      <c r="N121" s="136"/>
      <c r="O121" s="136"/>
      <c r="P121" s="131"/>
      <c r="Q121" s="128"/>
      <c r="R121" s="128"/>
      <c r="S121" s="128"/>
    </row>
    <row r="122" spans="1:19" s="164" customFormat="1" ht="12" customHeight="1">
      <c r="A122" s="137"/>
      <c r="B122" s="133"/>
      <c r="C122" s="138"/>
      <c r="D122" s="138"/>
      <c r="E122" s="138"/>
      <c r="F122" s="138"/>
      <c r="G122" s="138"/>
      <c r="H122" s="139"/>
      <c r="I122" s="140"/>
      <c r="J122" s="140"/>
      <c r="L122" s="136"/>
      <c r="M122" s="136"/>
      <c r="N122" s="136"/>
      <c r="O122" s="136"/>
      <c r="P122" s="131"/>
      <c r="Q122" s="128"/>
      <c r="R122" s="128"/>
      <c r="S122" s="128"/>
    </row>
    <row r="123" spans="1:19" s="164" customFormat="1" ht="12" customHeight="1">
      <c r="A123" s="137"/>
      <c r="B123" s="133"/>
      <c r="C123" s="138"/>
      <c r="D123" s="138"/>
      <c r="E123" s="138"/>
      <c r="F123" s="138"/>
      <c r="G123" s="138"/>
      <c r="H123" s="139"/>
      <c r="I123" s="140"/>
      <c r="J123" s="140"/>
      <c r="L123" s="136"/>
      <c r="M123" s="136"/>
      <c r="N123" s="136"/>
      <c r="O123" s="136"/>
      <c r="P123" s="131"/>
      <c r="Q123" s="128"/>
      <c r="R123" s="128"/>
      <c r="S123" s="128"/>
    </row>
    <row r="124" spans="1:19" s="164" customFormat="1" ht="12" customHeight="1">
      <c r="A124" s="137"/>
      <c r="B124" s="133"/>
      <c r="C124" s="138"/>
      <c r="D124" s="138"/>
      <c r="E124" s="138"/>
      <c r="F124" s="138"/>
      <c r="G124" s="138"/>
      <c r="H124" s="139"/>
      <c r="I124" s="140"/>
      <c r="J124" s="140"/>
      <c r="L124" s="136"/>
      <c r="M124" s="136"/>
      <c r="N124" s="136"/>
      <c r="O124" s="136"/>
      <c r="P124" s="131"/>
      <c r="Q124" s="128"/>
      <c r="R124" s="128"/>
      <c r="S124" s="128"/>
    </row>
  </sheetData>
  <mergeCells count="19">
    <mergeCell ref="B12:H12"/>
    <mergeCell ref="B16:M16"/>
    <mergeCell ref="B9:O9"/>
    <mergeCell ref="E4:E5"/>
    <mergeCell ref="F4:H4"/>
    <mergeCell ref="B4:B5"/>
    <mergeCell ref="C4:C5"/>
    <mergeCell ref="D4:D5"/>
    <mergeCell ref="A7:N7"/>
    <mergeCell ref="Q4:Q5"/>
    <mergeCell ref="Q7:Q8"/>
    <mergeCell ref="A8:N8"/>
    <mergeCell ref="I4:K4"/>
    <mergeCell ref="L4:L5"/>
    <mergeCell ref="M4:M5"/>
    <mergeCell ref="N4:N5"/>
    <mergeCell ref="O4:O5"/>
    <mergeCell ref="P4:P5"/>
    <mergeCell ref="A4:A5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62" fitToHeight="3" orientation="landscape" r:id="rId1"/>
  <headerFooter alignWithMargins="0"/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indexed="43"/>
    <pageSetUpPr fitToPage="1"/>
  </sheetPr>
  <dimension ref="A1:S124"/>
  <sheetViews>
    <sheetView zoomScale="85" zoomScaleNormal="85" zoomScaleSheetLayoutView="85" workbookViewId="0">
      <pane xSplit="3" topLeftCell="D1" activePane="topRight" state="frozen"/>
      <selection activeCell="J9" sqref="J9"/>
      <selection pane="topRight" activeCell="M13" sqref="M13"/>
    </sheetView>
  </sheetViews>
  <sheetFormatPr defaultRowHeight="12" customHeight="1"/>
  <cols>
    <col min="1" max="1" width="3.77734375" style="137" customWidth="1"/>
    <col min="2" max="2" width="25.21875" style="133" customWidth="1"/>
    <col min="3" max="3" width="28.33203125" style="133" customWidth="1"/>
    <col min="4" max="4" width="12.44140625" style="133" customWidth="1"/>
    <col min="5" max="5" width="9.6640625" style="133" bestFit="1" customWidth="1"/>
    <col min="6" max="7" width="10.33203125" style="133" bestFit="1" customWidth="1"/>
    <col min="8" max="8" width="9.6640625" style="134" bestFit="1" customWidth="1"/>
    <col min="9" max="9" width="10.33203125" style="141" bestFit="1" customWidth="1"/>
    <col min="10" max="10" width="10.109375" style="141" bestFit="1" customWidth="1"/>
    <col min="11" max="11" width="9.5546875" style="164" customWidth="1"/>
    <col min="12" max="12" width="8.44140625" style="136" bestFit="1" customWidth="1"/>
    <col min="13" max="13" width="8.44140625" style="136" customWidth="1"/>
    <col min="14" max="14" width="7.88671875" style="136" customWidth="1"/>
    <col min="15" max="15" width="6.33203125" style="136" customWidth="1"/>
    <col min="16" max="16" width="5.77734375" style="131" customWidth="1"/>
    <col min="17" max="17" width="5.33203125" style="128" customWidth="1"/>
    <col min="18" max="16384" width="8.88671875" style="128"/>
  </cols>
  <sheetData>
    <row r="1" spans="1:19" s="125" customFormat="1" ht="50.25" customHeight="1">
      <c r="A1" s="322"/>
      <c r="B1" s="527" t="s">
        <v>464</v>
      </c>
      <c r="C1" s="327" t="s">
        <v>817</v>
      </c>
      <c r="D1" s="322"/>
      <c r="E1" s="323"/>
      <c r="F1" s="322"/>
      <c r="G1" s="322"/>
      <c r="H1" s="121"/>
      <c r="I1" s="121"/>
      <c r="J1" s="121"/>
      <c r="K1" s="282"/>
      <c r="L1" s="121"/>
      <c r="M1" s="121"/>
      <c r="N1" s="121"/>
      <c r="O1" s="121"/>
      <c r="P1" s="122"/>
      <c r="Q1" s="124"/>
    </row>
    <row r="2" spans="1:19" s="124" customFormat="1" ht="9" customHeight="1">
      <c r="A2" s="322"/>
      <c r="B2" s="323"/>
      <c r="C2" s="322"/>
      <c r="D2" s="322"/>
      <c r="E2" s="323"/>
      <c r="F2" s="322"/>
      <c r="G2" s="322"/>
      <c r="H2" s="121"/>
      <c r="I2" s="121"/>
      <c r="J2" s="121"/>
      <c r="K2" s="282"/>
      <c r="L2" s="121"/>
      <c r="M2" s="121"/>
      <c r="N2" s="121"/>
      <c r="O2" s="121"/>
      <c r="P2" s="122"/>
    </row>
    <row r="3" spans="1:19" s="124" customFormat="1" ht="33.75" customHeight="1" thickBot="1">
      <c r="A3" s="322"/>
      <c r="B3" s="323" t="s">
        <v>574</v>
      </c>
      <c r="C3" s="322"/>
      <c r="D3" s="322"/>
      <c r="E3" s="323"/>
      <c r="F3" s="322"/>
      <c r="G3" s="322"/>
      <c r="H3" s="121"/>
      <c r="I3" s="121"/>
      <c r="J3" s="121"/>
      <c r="K3" s="282"/>
      <c r="L3" s="121"/>
      <c r="M3" s="121"/>
      <c r="N3" s="121"/>
      <c r="O3" s="121"/>
      <c r="P3" s="122"/>
    </row>
    <row r="4" spans="1:19" s="126" customFormat="1" ht="33" customHeight="1">
      <c r="A4" s="948" t="s">
        <v>575</v>
      </c>
      <c r="B4" s="957" t="s">
        <v>576</v>
      </c>
      <c r="C4" s="959" t="s">
        <v>577</v>
      </c>
      <c r="D4" s="959" t="s">
        <v>578</v>
      </c>
      <c r="E4" s="955" t="s">
        <v>579</v>
      </c>
      <c r="F4" s="961" t="s">
        <v>580</v>
      </c>
      <c r="G4" s="951"/>
      <c r="H4" s="952"/>
      <c r="I4" s="951" t="s">
        <v>581</v>
      </c>
      <c r="J4" s="951"/>
      <c r="K4" s="952"/>
      <c r="L4" s="953" t="s">
        <v>582</v>
      </c>
      <c r="M4" s="955" t="s">
        <v>583</v>
      </c>
      <c r="N4" s="946" t="s">
        <v>584</v>
      </c>
      <c r="O4" s="946" t="s">
        <v>585</v>
      </c>
      <c r="P4" s="946" t="s">
        <v>586</v>
      </c>
      <c r="Q4" s="941" t="s">
        <v>587</v>
      </c>
    </row>
    <row r="5" spans="1:19" s="126" customFormat="1" ht="33" customHeight="1">
      <c r="A5" s="949"/>
      <c r="B5" s="958"/>
      <c r="C5" s="960"/>
      <c r="D5" s="960"/>
      <c r="E5" s="956"/>
      <c r="F5" s="183" t="s">
        <v>588</v>
      </c>
      <c r="G5" s="183" t="s">
        <v>589</v>
      </c>
      <c r="H5" s="184" t="s">
        <v>590</v>
      </c>
      <c r="I5" s="183" t="s">
        <v>591</v>
      </c>
      <c r="J5" s="183" t="s">
        <v>592</v>
      </c>
      <c r="K5" s="184" t="s">
        <v>593</v>
      </c>
      <c r="L5" s="954"/>
      <c r="M5" s="956"/>
      <c r="N5" s="947"/>
      <c r="O5" s="947"/>
      <c r="P5" s="947"/>
      <c r="Q5" s="942"/>
    </row>
    <row r="6" spans="1:19" s="187" customFormat="1" ht="54" customHeight="1">
      <c r="A6" s="191">
        <v>1</v>
      </c>
      <c r="B6" s="192" t="s">
        <v>5</v>
      </c>
      <c r="C6" s="526" t="s">
        <v>6</v>
      </c>
      <c r="D6" s="201" t="s">
        <v>7</v>
      </c>
      <c r="E6" s="193">
        <v>5963</v>
      </c>
      <c r="F6" s="525">
        <v>38967</v>
      </c>
      <c r="G6" s="525">
        <v>39785</v>
      </c>
      <c r="H6" s="649">
        <f>IF(G6-F6+1&gt;=2*365,2*365,G6-F6+1)</f>
        <v>730</v>
      </c>
      <c r="I6" s="525">
        <v>39248</v>
      </c>
      <c r="J6" s="525">
        <v>39785</v>
      </c>
      <c r="K6" s="649">
        <f>IF(J6-I6+1&gt;=2*365,2*365,J6-I6+1)</f>
        <v>538</v>
      </c>
      <c r="L6" s="650" t="s">
        <v>8</v>
      </c>
      <c r="M6" s="193">
        <f>357+429+210+86+42+44</f>
        <v>1168</v>
      </c>
      <c r="N6" s="672">
        <f>E6-M6</f>
        <v>4795</v>
      </c>
      <c r="O6" s="673">
        <f>N6/(배점기준!$G$9/1000)</f>
        <v>3.1843982417074486</v>
      </c>
      <c r="P6" s="674">
        <f>(IF(N6&lt;231,0,IF(O6&gt;=2.5,3,IF(O6&gt;=2,2,IF(O6&gt;=1.5,1.5,IF(O6&gt;=1,1,IF(O6&gt;=0.5,0.5,0.25)))))))*K6/H6</f>
        <v>2.2109589041095892</v>
      </c>
      <c r="Q6" s="785"/>
      <c r="S6" s="575"/>
    </row>
    <row r="7" spans="1:19" s="187" customFormat="1" ht="54" customHeight="1" thickBot="1">
      <c r="A7" s="943" t="s">
        <v>594</v>
      </c>
      <c r="B7" s="944"/>
      <c r="C7" s="944"/>
      <c r="D7" s="944"/>
      <c r="E7" s="944"/>
      <c r="F7" s="944"/>
      <c r="G7" s="944"/>
      <c r="H7" s="944"/>
      <c r="I7" s="944"/>
      <c r="J7" s="944"/>
      <c r="K7" s="944"/>
      <c r="L7" s="944"/>
      <c r="M7" s="944"/>
      <c r="N7" s="945"/>
      <c r="O7" s="328"/>
      <c r="P7" s="353">
        <f>SUM(P6:P6)</f>
        <v>2.2109589041095892</v>
      </c>
      <c r="Q7" s="993"/>
    </row>
    <row r="8" spans="1:19" s="189" customFormat="1" ht="54" customHeight="1" thickBot="1">
      <c r="A8" s="964" t="s">
        <v>595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965"/>
      <c r="M8" s="965"/>
      <c r="N8" s="966"/>
      <c r="O8" s="329"/>
      <c r="P8" s="352">
        <f>P7</f>
        <v>2.2109589041095892</v>
      </c>
      <c r="Q8" s="994"/>
    </row>
    <row r="9" spans="1:19" s="197" customFormat="1" ht="19.5" customHeight="1">
      <c r="A9" s="195" t="s">
        <v>9</v>
      </c>
      <c r="B9" s="963" t="s">
        <v>10</v>
      </c>
      <c r="C9" s="963"/>
      <c r="D9" s="963"/>
      <c r="E9" s="963"/>
      <c r="F9" s="963"/>
      <c r="G9" s="963"/>
      <c r="H9" s="963"/>
      <c r="I9" s="963"/>
      <c r="J9" s="963"/>
      <c r="K9" s="963"/>
      <c r="L9" s="963"/>
      <c r="M9" s="963"/>
      <c r="N9" s="963"/>
      <c r="O9" s="963"/>
      <c r="P9" s="196"/>
    </row>
    <row r="10" spans="1:19" s="161" customFormat="1" ht="18.75" customHeight="1">
      <c r="A10" s="250">
        <v>1</v>
      </c>
      <c r="B10" s="160" t="s">
        <v>11</v>
      </c>
      <c r="C10" s="160"/>
      <c r="D10" s="160"/>
      <c r="E10" s="160"/>
      <c r="F10" s="160"/>
      <c r="G10" s="160"/>
      <c r="K10" s="324"/>
      <c r="L10" s="162"/>
      <c r="M10" s="162"/>
      <c r="N10" s="162"/>
      <c r="O10" s="162"/>
    </row>
    <row r="11" spans="1:19" s="159" customFormat="1" ht="18.75" customHeight="1">
      <c r="A11" s="250">
        <v>2</v>
      </c>
      <c r="B11" s="160" t="s">
        <v>12</v>
      </c>
      <c r="C11" s="160"/>
      <c r="D11" s="160"/>
      <c r="E11" s="160"/>
      <c r="F11" s="163"/>
      <c r="G11" s="163"/>
      <c r="H11" s="163"/>
      <c r="I11" s="163"/>
      <c r="J11" s="163"/>
      <c r="K11" s="161"/>
    </row>
    <row r="12" spans="1:19" s="159" customFormat="1" ht="42.75" customHeight="1">
      <c r="A12" s="250">
        <v>3</v>
      </c>
      <c r="B12" s="962" t="s">
        <v>13</v>
      </c>
      <c r="C12" s="962"/>
      <c r="D12" s="962"/>
      <c r="E12" s="962"/>
      <c r="F12" s="962"/>
      <c r="G12" s="962"/>
      <c r="H12" s="962"/>
      <c r="I12" s="163"/>
      <c r="J12" s="163"/>
      <c r="K12" s="161"/>
    </row>
    <row r="13" spans="1:19" s="159" customFormat="1" ht="18.75" customHeight="1">
      <c r="A13" s="250">
        <v>4</v>
      </c>
      <c r="B13" s="159" t="s">
        <v>14</v>
      </c>
      <c r="C13" s="160"/>
      <c r="D13" s="160"/>
      <c r="E13" s="160"/>
      <c r="F13" s="163"/>
      <c r="G13" s="163"/>
      <c r="H13" s="163"/>
      <c r="I13" s="163"/>
      <c r="J13" s="163"/>
      <c r="K13" s="161"/>
    </row>
    <row r="14" spans="1:19" s="159" customFormat="1" ht="18.75" customHeight="1">
      <c r="A14" s="250">
        <v>5</v>
      </c>
      <c r="B14" s="160" t="s">
        <v>15</v>
      </c>
      <c r="C14" s="160"/>
      <c r="D14" s="160"/>
      <c r="E14" s="160"/>
      <c r="F14" s="163"/>
      <c r="G14" s="163"/>
      <c r="H14" s="163"/>
      <c r="I14" s="163"/>
      <c r="J14" s="163"/>
      <c r="K14" s="161"/>
    </row>
    <row r="15" spans="1:19" s="159" customFormat="1" ht="18.75" customHeight="1">
      <c r="A15" s="250">
        <v>6</v>
      </c>
      <c r="B15" s="160" t="s">
        <v>16</v>
      </c>
      <c r="C15" s="160"/>
      <c r="D15" s="160"/>
      <c r="E15" s="160"/>
      <c r="F15" s="160"/>
      <c r="G15" s="160"/>
      <c r="H15" s="161"/>
      <c r="I15" s="163"/>
      <c r="J15" s="163"/>
      <c r="K15" s="161"/>
    </row>
    <row r="16" spans="1:19" s="161" customFormat="1" ht="55.5" customHeight="1">
      <c r="A16" s="250">
        <v>7</v>
      </c>
      <c r="B16" s="950" t="s">
        <v>17</v>
      </c>
      <c r="C16" s="950"/>
      <c r="D16" s="950"/>
      <c r="E16" s="950"/>
      <c r="F16" s="950"/>
      <c r="G16" s="950"/>
      <c r="H16" s="950"/>
      <c r="I16" s="950"/>
      <c r="J16" s="950"/>
      <c r="K16" s="950"/>
      <c r="L16" s="950"/>
      <c r="M16" s="950"/>
      <c r="N16" s="162"/>
      <c r="O16" s="162"/>
    </row>
    <row r="17" spans="1:16" s="161" customFormat="1" ht="18.75" customHeight="1">
      <c r="A17" s="250">
        <v>8</v>
      </c>
      <c r="B17" s="160" t="s">
        <v>18</v>
      </c>
      <c r="C17" s="160"/>
      <c r="D17" s="160"/>
      <c r="E17" s="160"/>
      <c r="F17" s="160"/>
      <c r="G17" s="160"/>
      <c r="K17" s="324"/>
      <c r="L17" s="162"/>
      <c r="M17" s="162"/>
      <c r="N17" s="162"/>
      <c r="O17" s="162"/>
    </row>
    <row r="18" spans="1:16" s="161" customFormat="1" ht="18.75" customHeight="1">
      <c r="A18" s="250">
        <v>9</v>
      </c>
      <c r="B18" s="166" t="s">
        <v>19</v>
      </c>
      <c r="C18" s="166"/>
      <c r="D18" s="166"/>
      <c r="E18" s="166"/>
      <c r="F18" s="160"/>
      <c r="G18" s="160"/>
      <c r="K18" s="324"/>
      <c r="L18" s="162"/>
      <c r="M18" s="162"/>
      <c r="N18" s="162"/>
      <c r="O18" s="162"/>
    </row>
    <row r="19" spans="1:16" s="161" customFormat="1" ht="15" customHeight="1">
      <c r="B19" s="166"/>
      <c r="C19" s="166"/>
      <c r="D19" s="166"/>
      <c r="E19" s="166"/>
      <c r="F19" s="160"/>
      <c r="G19" s="160"/>
      <c r="K19" s="324"/>
      <c r="L19" s="162"/>
      <c r="M19" s="162"/>
      <c r="N19" s="162"/>
      <c r="O19" s="162"/>
    </row>
    <row r="20" spans="1:16" s="161" customFormat="1" ht="15" customHeight="1">
      <c r="B20" s="166"/>
      <c r="C20" s="166"/>
      <c r="D20" s="166"/>
      <c r="E20" s="166"/>
      <c r="F20" s="160"/>
      <c r="G20" s="160"/>
      <c r="K20" s="324"/>
      <c r="L20" s="162"/>
      <c r="M20" s="162"/>
      <c r="N20" s="162"/>
      <c r="O20" s="162"/>
    </row>
    <row r="21" spans="1:16" s="197" customFormat="1" ht="15" customHeight="1">
      <c r="A21" s="160"/>
      <c r="B21" s="160"/>
      <c r="C21" s="160"/>
      <c r="D21" s="160"/>
      <c r="E21" s="160"/>
      <c r="F21" s="198"/>
      <c r="G21" s="198"/>
      <c r="H21" s="161"/>
      <c r="I21" s="161"/>
      <c r="J21" s="161"/>
      <c r="K21" s="211"/>
      <c r="L21" s="199"/>
      <c r="M21" s="199"/>
      <c r="N21" s="199"/>
      <c r="O21" s="199"/>
      <c r="P21" s="200"/>
    </row>
    <row r="22" spans="1:16" ht="15" customHeight="1">
      <c r="B22" s="146"/>
      <c r="C22" s="146"/>
      <c r="D22" s="146"/>
      <c r="E22" s="146"/>
      <c r="F22" s="138"/>
      <c r="G22" s="138"/>
      <c r="H22" s="139"/>
      <c r="I22" s="140"/>
      <c r="J22" s="140"/>
    </row>
    <row r="23" spans="1:16" ht="15" customHeight="1">
      <c r="C23" s="138"/>
      <c r="D23" s="138"/>
      <c r="E23" s="138"/>
      <c r="F23" s="138"/>
      <c r="G23" s="138"/>
      <c r="H23" s="139"/>
      <c r="I23" s="140"/>
      <c r="J23" s="140"/>
    </row>
    <row r="24" spans="1:16" ht="15" customHeight="1">
      <c r="C24" s="138"/>
      <c r="D24" s="138"/>
      <c r="E24" s="138"/>
      <c r="F24" s="138"/>
      <c r="G24" s="138"/>
      <c r="H24" s="139"/>
      <c r="I24" s="140"/>
      <c r="J24" s="140"/>
    </row>
    <row r="25" spans="1:16" ht="12" customHeight="1">
      <c r="C25" s="138"/>
      <c r="D25" s="138"/>
      <c r="E25" s="138"/>
      <c r="F25" s="138"/>
      <c r="G25" s="138"/>
      <c r="H25" s="139"/>
      <c r="I25" s="140"/>
      <c r="J25" s="140"/>
    </row>
    <row r="26" spans="1:16" ht="12" customHeight="1">
      <c r="C26" s="138"/>
      <c r="D26" s="138"/>
      <c r="E26" s="138"/>
      <c r="F26" s="138"/>
      <c r="G26" s="138"/>
      <c r="H26" s="139"/>
      <c r="I26" s="140"/>
      <c r="J26" s="140"/>
    </row>
    <row r="27" spans="1:16" ht="12" customHeight="1">
      <c r="C27" s="138"/>
      <c r="D27" s="138"/>
      <c r="E27" s="138"/>
      <c r="F27" s="138"/>
      <c r="G27" s="138"/>
      <c r="H27" s="139"/>
      <c r="I27" s="140"/>
      <c r="J27" s="140"/>
    </row>
    <row r="28" spans="1:16" ht="12" customHeight="1">
      <c r="C28" s="138"/>
      <c r="D28" s="138"/>
      <c r="E28" s="138"/>
      <c r="F28" s="138"/>
      <c r="G28" s="138"/>
      <c r="H28" s="139"/>
      <c r="I28" s="140"/>
      <c r="J28" s="140"/>
    </row>
    <row r="29" spans="1:16" ht="12" customHeight="1">
      <c r="C29" s="138"/>
      <c r="D29" s="138"/>
      <c r="E29" s="138"/>
      <c r="F29" s="138"/>
      <c r="G29" s="138"/>
      <c r="H29" s="139"/>
      <c r="I29" s="140"/>
      <c r="J29" s="140"/>
    </row>
    <row r="30" spans="1:16" ht="12" customHeight="1">
      <c r="C30" s="138"/>
      <c r="D30" s="138"/>
      <c r="E30" s="138"/>
      <c r="F30" s="138"/>
      <c r="G30" s="138"/>
      <c r="H30" s="139"/>
      <c r="I30" s="140"/>
      <c r="J30" s="140"/>
    </row>
    <row r="31" spans="1:16" ht="12" customHeight="1">
      <c r="C31" s="138"/>
      <c r="D31" s="138"/>
      <c r="E31" s="138"/>
      <c r="F31" s="138"/>
      <c r="G31" s="138"/>
      <c r="H31" s="139"/>
      <c r="I31" s="140"/>
      <c r="J31" s="140"/>
    </row>
    <row r="32" spans="1:16" ht="12" customHeight="1">
      <c r="C32" s="138"/>
      <c r="D32" s="138"/>
      <c r="E32" s="138"/>
      <c r="F32" s="138"/>
      <c r="G32" s="138"/>
      <c r="H32" s="139"/>
      <c r="I32" s="140"/>
      <c r="J32" s="140"/>
    </row>
    <row r="33" spans="1:19" ht="12" customHeight="1">
      <c r="C33" s="138"/>
      <c r="D33" s="138"/>
      <c r="E33" s="138"/>
      <c r="F33" s="138"/>
      <c r="G33" s="138"/>
      <c r="H33" s="139"/>
      <c r="I33" s="140"/>
      <c r="J33" s="140"/>
    </row>
    <row r="34" spans="1:19" s="164" customFormat="1" ht="12" customHeight="1">
      <c r="A34" s="137"/>
      <c r="B34" s="133"/>
      <c r="C34" s="138"/>
      <c r="D34" s="138"/>
      <c r="E34" s="138"/>
      <c r="F34" s="138"/>
      <c r="G34" s="138"/>
      <c r="H34" s="139"/>
      <c r="I34" s="140"/>
      <c r="J34" s="140"/>
      <c r="L34" s="136"/>
      <c r="M34" s="136"/>
      <c r="N34" s="136"/>
      <c r="O34" s="136"/>
      <c r="P34" s="131"/>
      <c r="Q34" s="128"/>
      <c r="R34" s="128"/>
      <c r="S34" s="128"/>
    </row>
    <row r="35" spans="1:19" s="164" customFormat="1" ht="12" customHeight="1">
      <c r="A35" s="137"/>
      <c r="B35" s="133"/>
      <c r="C35" s="138"/>
      <c r="D35" s="138"/>
      <c r="E35" s="138"/>
      <c r="F35" s="138"/>
      <c r="G35" s="138"/>
      <c r="H35" s="139"/>
      <c r="I35" s="140"/>
      <c r="J35" s="140"/>
      <c r="L35" s="136"/>
      <c r="M35" s="136"/>
      <c r="N35" s="136"/>
      <c r="O35" s="136"/>
      <c r="P35" s="131"/>
      <c r="Q35" s="128"/>
      <c r="R35" s="128"/>
      <c r="S35" s="128"/>
    </row>
    <row r="36" spans="1:19" s="164" customFormat="1" ht="12" customHeight="1">
      <c r="A36" s="137"/>
      <c r="B36" s="133"/>
      <c r="C36" s="138"/>
      <c r="D36" s="138"/>
      <c r="E36" s="138"/>
      <c r="F36" s="138"/>
      <c r="G36" s="138"/>
      <c r="H36" s="139"/>
      <c r="I36" s="140"/>
      <c r="J36" s="140"/>
      <c r="L36" s="136"/>
      <c r="M36" s="136"/>
      <c r="N36" s="136"/>
      <c r="O36" s="136"/>
      <c r="P36" s="131"/>
      <c r="Q36" s="128"/>
      <c r="R36" s="128"/>
      <c r="S36" s="128"/>
    </row>
    <row r="37" spans="1:19" s="164" customFormat="1" ht="12" customHeight="1">
      <c r="A37" s="137"/>
      <c r="B37" s="133"/>
      <c r="C37" s="138"/>
      <c r="D37" s="138"/>
      <c r="E37" s="138"/>
      <c r="F37" s="138"/>
      <c r="G37" s="138"/>
      <c r="H37" s="139"/>
      <c r="I37" s="140"/>
      <c r="J37" s="140"/>
      <c r="L37" s="136"/>
      <c r="M37" s="136"/>
      <c r="N37" s="136"/>
      <c r="O37" s="136"/>
      <c r="P37" s="131"/>
      <c r="Q37" s="128"/>
      <c r="R37" s="128"/>
      <c r="S37" s="128"/>
    </row>
    <row r="38" spans="1:19" s="164" customFormat="1" ht="12" customHeight="1">
      <c r="A38" s="137"/>
      <c r="B38" s="133"/>
      <c r="C38" s="138"/>
      <c r="D38" s="138"/>
      <c r="E38" s="138"/>
      <c r="F38" s="138"/>
      <c r="G38" s="138"/>
      <c r="H38" s="139"/>
      <c r="I38" s="140"/>
      <c r="J38" s="140"/>
      <c r="L38" s="136"/>
      <c r="M38" s="136"/>
      <c r="N38" s="136"/>
      <c r="O38" s="136"/>
      <c r="P38" s="131"/>
      <c r="Q38" s="128"/>
      <c r="R38" s="128"/>
      <c r="S38" s="128"/>
    </row>
    <row r="39" spans="1:19" s="164" customFormat="1" ht="12" customHeight="1">
      <c r="A39" s="137"/>
      <c r="B39" s="133"/>
      <c r="C39" s="138"/>
      <c r="D39" s="138"/>
      <c r="E39" s="138"/>
      <c r="F39" s="138"/>
      <c r="G39" s="138"/>
      <c r="H39" s="139"/>
      <c r="I39" s="140"/>
      <c r="J39" s="140"/>
      <c r="L39" s="136"/>
      <c r="M39" s="136"/>
      <c r="N39" s="136"/>
      <c r="O39" s="136"/>
      <c r="P39" s="131"/>
      <c r="Q39" s="128"/>
      <c r="R39" s="128"/>
      <c r="S39" s="128"/>
    </row>
    <row r="40" spans="1:19" s="164" customFormat="1" ht="12" customHeight="1">
      <c r="A40" s="137"/>
      <c r="B40" s="133"/>
      <c r="C40" s="138"/>
      <c r="D40" s="138"/>
      <c r="E40" s="138"/>
      <c r="F40" s="138"/>
      <c r="G40" s="138"/>
      <c r="H40" s="139"/>
      <c r="I40" s="140"/>
      <c r="J40" s="140"/>
      <c r="L40" s="136"/>
      <c r="M40" s="136"/>
      <c r="N40" s="136"/>
      <c r="O40" s="136"/>
      <c r="P40" s="131"/>
      <c r="Q40" s="128"/>
      <c r="R40" s="128"/>
      <c r="S40" s="128"/>
    </row>
    <row r="41" spans="1:19" s="164" customFormat="1" ht="12" customHeight="1">
      <c r="A41" s="137"/>
      <c r="B41" s="133"/>
      <c r="C41" s="138"/>
      <c r="D41" s="138"/>
      <c r="E41" s="138"/>
      <c r="F41" s="138"/>
      <c r="G41" s="138"/>
      <c r="H41" s="139"/>
      <c r="I41" s="140"/>
      <c r="J41" s="140"/>
      <c r="L41" s="136"/>
      <c r="M41" s="136"/>
      <c r="N41" s="136"/>
      <c r="O41" s="136"/>
      <c r="P41" s="131"/>
      <c r="Q41" s="128"/>
      <c r="R41" s="128"/>
      <c r="S41" s="128"/>
    </row>
    <row r="42" spans="1:19" s="164" customFormat="1" ht="12" customHeight="1">
      <c r="A42" s="137"/>
      <c r="B42" s="133"/>
      <c r="C42" s="138"/>
      <c r="D42" s="138"/>
      <c r="E42" s="138"/>
      <c r="F42" s="138"/>
      <c r="G42" s="138"/>
      <c r="H42" s="139"/>
      <c r="I42" s="140"/>
      <c r="J42" s="140"/>
      <c r="L42" s="136"/>
      <c r="M42" s="136"/>
      <c r="N42" s="136"/>
      <c r="O42" s="136"/>
      <c r="P42" s="131"/>
      <c r="Q42" s="128"/>
      <c r="R42" s="128"/>
      <c r="S42" s="128"/>
    </row>
    <row r="43" spans="1:19" s="164" customFormat="1" ht="12" customHeight="1">
      <c r="A43" s="137"/>
      <c r="B43" s="133"/>
      <c r="C43" s="138"/>
      <c r="D43" s="138"/>
      <c r="E43" s="138"/>
      <c r="F43" s="138"/>
      <c r="G43" s="138"/>
      <c r="H43" s="139"/>
      <c r="I43" s="140"/>
      <c r="J43" s="140"/>
      <c r="L43" s="136"/>
      <c r="M43" s="136"/>
      <c r="N43" s="136"/>
      <c r="O43" s="136"/>
      <c r="P43" s="131"/>
      <c r="Q43" s="128"/>
      <c r="R43" s="128"/>
      <c r="S43" s="128"/>
    </row>
    <row r="44" spans="1:19" s="164" customFormat="1" ht="12" customHeight="1">
      <c r="A44" s="137"/>
      <c r="B44" s="133"/>
      <c r="C44" s="138"/>
      <c r="D44" s="138"/>
      <c r="E44" s="138"/>
      <c r="F44" s="138"/>
      <c r="G44" s="138"/>
      <c r="H44" s="139"/>
      <c r="I44" s="140"/>
      <c r="J44" s="140"/>
      <c r="L44" s="136"/>
      <c r="M44" s="136"/>
      <c r="N44" s="136"/>
      <c r="O44" s="136"/>
      <c r="P44" s="131"/>
      <c r="Q44" s="128"/>
      <c r="R44" s="128"/>
      <c r="S44" s="128"/>
    </row>
    <row r="45" spans="1:19" s="164" customFormat="1" ht="12" customHeight="1">
      <c r="A45" s="137"/>
      <c r="B45" s="133"/>
      <c r="C45" s="138"/>
      <c r="D45" s="138"/>
      <c r="E45" s="138"/>
      <c r="F45" s="138"/>
      <c r="G45" s="138"/>
      <c r="H45" s="139"/>
      <c r="I45" s="140"/>
      <c r="J45" s="140"/>
      <c r="L45" s="136"/>
      <c r="M45" s="136"/>
      <c r="N45" s="136"/>
      <c r="O45" s="136"/>
      <c r="P45" s="131"/>
      <c r="Q45" s="128"/>
      <c r="R45" s="128"/>
      <c r="S45" s="128"/>
    </row>
    <row r="46" spans="1:19" s="164" customFormat="1" ht="12" customHeight="1">
      <c r="A46" s="137"/>
      <c r="B46" s="133"/>
      <c r="C46" s="138"/>
      <c r="D46" s="138"/>
      <c r="E46" s="138"/>
      <c r="F46" s="138"/>
      <c r="G46" s="138"/>
      <c r="H46" s="139"/>
      <c r="I46" s="140"/>
      <c r="J46" s="140"/>
      <c r="L46" s="136"/>
      <c r="M46" s="136"/>
      <c r="N46" s="136"/>
      <c r="O46" s="136"/>
      <c r="P46" s="131"/>
      <c r="Q46" s="128"/>
      <c r="R46" s="128"/>
      <c r="S46" s="128"/>
    </row>
    <row r="47" spans="1:19" s="164" customFormat="1" ht="12" customHeight="1">
      <c r="A47" s="137"/>
      <c r="B47" s="133"/>
      <c r="C47" s="138"/>
      <c r="D47" s="138"/>
      <c r="E47" s="138"/>
      <c r="F47" s="138"/>
      <c r="G47" s="138"/>
      <c r="H47" s="139"/>
      <c r="I47" s="140"/>
      <c r="J47" s="140"/>
      <c r="L47" s="136"/>
      <c r="M47" s="136"/>
      <c r="N47" s="136"/>
      <c r="O47" s="136"/>
      <c r="P47" s="131"/>
      <c r="Q47" s="128"/>
      <c r="R47" s="128"/>
      <c r="S47" s="128"/>
    </row>
    <row r="48" spans="1:19" s="164" customFormat="1" ht="12" customHeight="1">
      <c r="A48" s="137"/>
      <c r="B48" s="133"/>
      <c r="C48" s="138"/>
      <c r="D48" s="138"/>
      <c r="E48" s="138"/>
      <c r="F48" s="138"/>
      <c r="G48" s="138"/>
      <c r="H48" s="139"/>
      <c r="I48" s="140"/>
      <c r="J48" s="140"/>
      <c r="L48" s="136"/>
      <c r="M48" s="136"/>
      <c r="N48" s="136"/>
      <c r="O48" s="136"/>
      <c r="P48" s="131"/>
      <c r="Q48" s="128"/>
      <c r="R48" s="128"/>
      <c r="S48" s="128"/>
    </row>
    <row r="49" spans="1:19" s="164" customFormat="1" ht="12" customHeight="1">
      <c r="A49" s="137"/>
      <c r="B49" s="133"/>
      <c r="C49" s="138"/>
      <c r="D49" s="138"/>
      <c r="E49" s="138"/>
      <c r="F49" s="138"/>
      <c r="G49" s="138"/>
      <c r="H49" s="139"/>
      <c r="I49" s="140"/>
      <c r="J49" s="140"/>
      <c r="L49" s="136"/>
      <c r="M49" s="136"/>
      <c r="N49" s="136"/>
      <c r="O49" s="136"/>
      <c r="P49" s="131"/>
      <c r="Q49" s="128"/>
      <c r="R49" s="128"/>
      <c r="S49" s="128"/>
    </row>
    <row r="50" spans="1:19" s="164" customFormat="1" ht="12" customHeight="1">
      <c r="A50" s="137"/>
      <c r="B50" s="133"/>
      <c r="C50" s="138"/>
      <c r="D50" s="138"/>
      <c r="E50" s="138"/>
      <c r="F50" s="138"/>
      <c r="G50" s="138"/>
      <c r="H50" s="139"/>
      <c r="I50" s="140"/>
      <c r="J50" s="140"/>
      <c r="L50" s="136"/>
      <c r="M50" s="136"/>
      <c r="N50" s="136"/>
      <c r="O50" s="136"/>
      <c r="P50" s="131"/>
      <c r="Q50" s="128"/>
      <c r="R50" s="128"/>
      <c r="S50" s="128"/>
    </row>
    <row r="51" spans="1:19" s="164" customFormat="1" ht="12" customHeight="1">
      <c r="A51" s="137"/>
      <c r="B51" s="133"/>
      <c r="C51" s="138"/>
      <c r="D51" s="138"/>
      <c r="E51" s="138"/>
      <c r="F51" s="138"/>
      <c r="G51" s="138"/>
      <c r="H51" s="139"/>
      <c r="I51" s="140"/>
      <c r="J51" s="140"/>
      <c r="L51" s="136"/>
      <c r="M51" s="136"/>
      <c r="N51" s="136"/>
      <c r="O51" s="136"/>
      <c r="P51" s="131"/>
      <c r="Q51" s="128"/>
      <c r="R51" s="128"/>
      <c r="S51" s="128"/>
    </row>
    <row r="52" spans="1:19" s="164" customFormat="1" ht="12" customHeight="1">
      <c r="A52" s="137"/>
      <c r="B52" s="133"/>
      <c r="C52" s="138"/>
      <c r="D52" s="138"/>
      <c r="E52" s="138"/>
      <c r="F52" s="138"/>
      <c r="G52" s="138"/>
      <c r="H52" s="139"/>
      <c r="I52" s="140"/>
      <c r="J52" s="140"/>
      <c r="L52" s="136"/>
      <c r="M52" s="136"/>
      <c r="N52" s="136"/>
      <c r="O52" s="136"/>
      <c r="P52" s="131"/>
      <c r="Q52" s="128"/>
      <c r="R52" s="128"/>
      <c r="S52" s="128"/>
    </row>
    <row r="53" spans="1:19" s="164" customFormat="1" ht="12" customHeight="1">
      <c r="A53" s="137"/>
      <c r="B53" s="133"/>
      <c r="C53" s="138"/>
      <c r="D53" s="138"/>
      <c r="E53" s="138"/>
      <c r="F53" s="138"/>
      <c r="G53" s="138"/>
      <c r="H53" s="139"/>
      <c r="I53" s="140"/>
      <c r="J53" s="140"/>
      <c r="L53" s="136"/>
      <c r="M53" s="136"/>
      <c r="N53" s="136"/>
      <c r="O53" s="136"/>
      <c r="P53" s="131"/>
      <c r="Q53" s="128"/>
      <c r="R53" s="128"/>
      <c r="S53" s="128"/>
    </row>
    <row r="54" spans="1:19" s="164" customFormat="1" ht="12" customHeight="1">
      <c r="A54" s="137"/>
      <c r="B54" s="133"/>
      <c r="C54" s="138"/>
      <c r="D54" s="138"/>
      <c r="E54" s="138"/>
      <c r="F54" s="138"/>
      <c r="G54" s="138"/>
      <c r="H54" s="139"/>
      <c r="I54" s="140"/>
      <c r="J54" s="140"/>
      <c r="L54" s="136"/>
      <c r="M54" s="136"/>
      <c r="N54" s="136"/>
      <c r="O54" s="136"/>
      <c r="P54" s="131"/>
      <c r="Q54" s="128"/>
      <c r="R54" s="128"/>
      <c r="S54" s="128"/>
    </row>
    <row r="55" spans="1:19" s="164" customFormat="1" ht="12" customHeight="1">
      <c r="A55" s="137"/>
      <c r="B55" s="133"/>
      <c r="C55" s="138"/>
      <c r="D55" s="138"/>
      <c r="E55" s="138"/>
      <c r="F55" s="138"/>
      <c r="G55" s="138"/>
      <c r="H55" s="139"/>
      <c r="I55" s="140"/>
      <c r="J55" s="140"/>
      <c r="L55" s="136"/>
      <c r="M55" s="136"/>
      <c r="N55" s="136"/>
      <c r="O55" s="136"/>
      <c r="P55" s="131"/>
      <c r="Q55" s="128"/>
      <c r="R55" s="128"/>
      <c r="S55" s="128"/>
    </row>
    <row r="56" spans="1:19" s="164" customFormat="1" ht="12" customHeight="1">
      <c r="A56" s="137"/>
      <c r="B56" s="133"/>
      <c r="C56" s="138"/>
      <c r="D56" s="138"/>
      <c r="E56" s="138"/>
      <c r="F56" s="138"/>
      <c r="G56" s="138"/>
      <c r="H56" s="139"/>
      <c r="I56" s="140"/>
      <c r="J56" s="140"/>
      <c r="L56" s="136"/>
      <c r="M56" s="136"/>
      <c r="N56" s="136"/>
      <c r="O56" s="136"/>
      <c r="P56" s="131"/>
      <c r="Q56" s="128"/>
      <c r="R56" s="128"/>
      <c r="S56" s="128"/>
    </row>
    <row r="57" spans="1:19" s="164" customFormat="1" ht="12" customHeight="1">
      <c r="A57" s="137"/>
      <c r="B57" s="133"/>
      <c r="C57" s="138"/>
      <c r="D57" s="138"/>
      <c r="E57" s="138"/>
      <c r="F57" s="138"/>
      <c r="G57" s="138"/>
      <c r="H57" s="139"/>
      <c r="I57" s="140"/>
      <c r="J57" s="140"/>
      <c r="L57" s="136"/>
      <c r="M57" s="136"/>
      <c r="N57" s="136"/>
      <c r="O57" s="136"/>
      <c r="P57" s="131"/>
      <c r="Q57" s="128"/>
      <c r="R57" s="128"/>
      <c r="S57" s="128"/>
    </row>
    <row r="58" spans="1:19" s="164" customFormat="1" ht="12" customHeight="1">
      <c r="A58" s="137"/>
      <c r="B58" s="133"/>
      <c r="C58" s="138"/>
      <c r="D58" s="138"/>
      <c r="E58" s="138"/>
      <c r="F58" s="138"/>
      <c r="G58" s="138"/>
      <c r="H58" s="139"/>
      <c r="I58" s="140"/>
      <c r="J58" s="140"/>
      <c r="L58" s="136"/>
      <c r="M58" s="136"/>
      <c r="N58" s="136"/>
      <c r="O58" s="136"/>
      <c r="P58" s="131"/>
      <c r="Q58" s="128"/>
      <c r="R58" s="128"/>
      <c r="S58" s="128"/>
    </row>
    <row r="59" spans="1:19" s="164" customFormat="1" ht="12" customHeight="1">
      <c r="A59" s="137"/>
      <c r="B59" s="133"/>
      <c r="C59" s="138"/>
      <c r="D59" s="138"/>
      <c r="E59" s="138"/>
      <c r="F59" s="138"/>
      <c r="G59" s="138"/>
      <c r="H59" s="139"/>
      <c r="I59" s="140"/>
      <c r="J59" s="140"/>
      <c r="L59" s="136"/>
      <c r="M59" s="136"/>
      <c r="N59" s="136"/>
      <c r="O59" s="136"/>
      <c r="P59" s="131"/>
      <c r="Q59" s="128"/>
      <c r="R59" s="128"/>
      <c r="S59" s="128"/>
    </row>
    <row r="60" spans="1:19" s="164" customFormat="1" ht="12" customHeight="1">
      <c r="A60" s="137"/>
      <c r="B60" s="133"/>
      <c r="C60" s="138"/>
      <c r="D60" s="138"/>
      <c r="E60" s="138"/>
      <c r="F60" s="138"/>
      <c r="G60" s="138"/>
      <c r="H60" s="139"/>
      <c r="I60" s="140"/>
      <c r="J60" s="140"/>
      <c r="L60" s="136"/>
      <c r="M60" s="136"/>
      <c r="N60" s="136"/>
      <c r="O60" s="136"/>
      <c r="P60" s="131"/>
      <c r="Q60" s="128"/>
      <c r="R60" s="128"/>
      <c r="S60" s="128"/>
    </row>
    <row r="61" spans="1:19" s="164" customFormat="1" ht="12" customHeight="1">
      <c r="A61" s="137"/>
      <c r="B61" s="133"/>
      <c r="C61" s="138"/>
      <c r="D61" s="138"/>
      <c r="E61" s="138"/>
      <c r="F61" s="138"/>
      <c r="G61" s="138"/>
      <c r="H61" s="139"/>
      <c r="I61" s="140"/>
      <c r="J61" s="140"/>
      <c r="L61" s="136"/>
      <c r="M61" s="136"/>
      <c r="N61" s="136"/>
      <c r="O61" s="136"/>
      <c r="P61" s="131"/>
      <c r="Q61" s="128"/>
      <c r="R61" s="128"/>
      <c r="S61" s="128"/>
    </row>
    <row r="62" spans="1:19" s="164" customFormat="1" ht="12" customHeight="1">
      <c r="A62" s="137"/>
      <c r="B62" s="133"/>
      <c r="C62" s="138"/>
      <c r="D62" s="138"/>
      <c r="E62" s="138"/>
      <c r="F62" s="138"/>
      <c r="G62" s="138"/>
      <c r="H62" s="139"/>
      <c r="I62" s="140"/>
      <c r="J62" s="140"/>
      <c r="L62" s="136"/>
      <c r="M62" s="136"/>
      <c r="N62" s="136"/>
      <c r="O62" s="136"/>
      <c r="P62" s="131"/>
      <c r="Q62" s="128"/>
      <c r="R62" s="128"/>
      <c r="S62" s="128"/>
    </row>
    <row r="63" spans="1:19" s="164" customFormat="1" ht="12" customHeight="1">
      <c r="A63" s="137"/>
      <c r="B63" s="133"/>
      <c r="C63" s="138"/>
      <c r="D63" s="138"/>
      <c r="E63" s="138"/>
      <c r="F63" s="138"/>
      <c r="G63" s="138"/>
      <c r="H63" s="139"/>
      <c r="I63" s="140"/>
      <c r="J63" s="140"/>
      <c r="L63" s="136"/>
      <c r="M63" s="136"/>
      <c r="N63" s="136"/>
      <c r="O63" s="136"/>
      <c r="P63" s="131"/>
      <c r="Q63" s="128"/>
      <c r="R63" s="128"/>
      <c r="S63" s="128"/>
    </row>
    <row r="64" spans="1:19" s="164" customFormat="1" ht="12" customHeight="1">
      <c r="A64" s="137"/>
      <c r="B64" s="133"/>
      <c r="C64" s="138"/>
      <c r="D64" s="138"/>
      <c r="E64" s="138"/>
      <c r="F64" s="138"/>
      <c r="G64" s="138"/>
      <c r="H64" s="139"/>
      <c r="I64" s="140"/>
      <c r="J64" s="140"/>
      <c r="L64" s="136"/>
      <c r="M64" s="136"/>
      <c r="N64" s="136"/>
      <c r="O64" s="136"/>
      <c r="P64" s="131"/>
      <c r="Q64" s="128"/>
      <c r="R64" s="128"/>
      <c r="S64" s="128"/>
    </row>
    <row r="65" spans="1:19" s="164" customFormat="1" ht="12" customHeight="1">
      <c r="A65" s="137"/>
      <c r="B65" s="133"/>
      <c r="C65" s="138"/>
      <c r="D65" s="138"/>
      <c r="E65" s="138"/>
      <c r="F65" s="138"/>
      <c r="G65" s="138"/>
      <c r="H65" s="139"/>
      <c r="I65" s="140"/>
      <c r="J65" s="140"/>
      <c r="L65" s="136"/>
      <c r="M65" s="136"/>
      <c r="N65" s="136"/>
      <c r="O65" s="136"/>
      <c r="P65" s="131"/>
      <c r="Q65" s="128"/>
      <c r="R65" s="128"/>
      <c r="S65" s="128"/>
    </row>
    <row r="66" spans="1:19" s="164" customFormat="1" ht="12" customHeight="1">
      <c r="A66" s="137"/>
      <c r="B66" s="133"/>
      <c r="C66" s="138"/>
      <c r="D66" s="138"/>
      <c r="E66" s="138"/>
      <c r="F66" s="138"/>
      <c r="G66" s="138"/>
      <c r="H66" s="139"/>
      <c r="I66" s="140"/>
      <c r="J66" s="140"/>
      <c r="L66" s="136"/>
      <c r="M66" s="136"/>
      <c r="N66" s="136"/>
      <c r="O66" s="136"/>
      <c r="P66" s="131"/>
      <c r="Q66" s="128"/>
      <c r="R66" s="128"/>
      <c r="S66" s="128"/>
    </row>
    <row r="67" spans="1:19" s="164" customFormat="1" ht="12" customHeight="1">
      <c r="A67" s="137"/>
      <c r="B67" s="133"/>
      <c r="C67" s="138"/>
      <c r="D67" s="138"/>
      <c r="E67" s="138"/>
      <c r="F67" s="138"/>
      <c r="G67" s="138"/>
      <c r="H67" s="139"/>
      <c r="I67" s="140"/>
      <c r="J67" s="140"/>
      <c r="L67" s="136"/>
      <c r="M67" s="136"/>
      <c r="N67" s="136"/>
      <c r="O67" s="136"/>
      <c r="P67" s="131"/>
      <c r="Q67" s="128"/>
      <c r="R67" s="128"/>
      <c r="S67" s="128"/>
    </row>
    <row r="68" spans="1:19" s="164" customFormat="1" ht="12" customHeight="1">
      <c r="A68" s="137"/>
      <c r="B68" s="133"/>
      <c r="C68" s="138"/>
      <c r="D68" s="138"/>
      <c r="E68" s="138"/>
      <c r="F68" s="138"/>
      <c r="G68" s="138"/>
      <c r="H68" s="139"/>
      <c r="I68" s="140"/>
      <c r="J68" s="140"/>
      <c r="L68" s="136"/>
      <c r="M68" s="136"/>
      <c r="N68" s="136"/>
      <c r="O68" s="136"/>
      <c r="P68" s="131"/>
      <c r="Q68" s="128"/>
      <c r="R68" s="128"/>
      <c r="S68" s="128"/>
    </row>
    <row r="69" spans="1:19" s="164" customFormat="1" ht="12" customHeight="1">
      <c r="A69" s="137"/>
      <c r="B69" s="133"/>
      <c r="C69" s="138"/>
      <c r="D69" s="138"/>
      <c r="E69" s="138"/>
      <c r="F69" s="138"/>
      <c r="G69" s="138"/>
      <c r="H69" s="139"/>
      <c r="I69" s="140"/>
      <c r="J69" s="140"/>
      <c r="L69" s="136"/>
      <c r="M69" s="136"/>
      <c r="N69" s="136"/>
      <c r="O69" s="136"/>
      <c r="P69" s="131"/>
      <c r="Q69" s="128"/>
      <c r="R69" s="128"/>
      <c r="S69" s="128"/>
    </row>
    <row r="70" spans="1:19" s="164" customFormat="1" ht="12" customHeight="1">
      <c r="A70" s="137"/>
      <c r="B70" s="133"/>
      <c r="C70" s="138"/>
      <c r="D70" s="138"/>
      <c r="E70" s="138"/>
      <c r="F70" s="138"/>
      <c r="G70" s="138"/>
      <c r="H70" s="139"/>
      <c r="I70" s="140"/>
      <c r="J70" s="140"/>
      <c r="L70" s="136"/>
      <c r="M70" s="136"/>
      <c r="N70" s="136"/>
      <c r="O70" s="136"/>
      <c r="P70" s="131"/>
      <c r="Q70" s="128"/>
      <c r="R70" s="128"/>
      <c r="S70" s="128"/>
    </row>
    <row r="71" spans="1:19" s="164" customFormat="1" ht="12" customHeight="1">
      <c r="A71" s="137"/>
      <c r="B71" s="133"/>
      <c r="C71" s="138"/>
      <c r="D71" s="138"/>
      <c r="E71" s="138"/>
      <c r="F71" s="138"/>
      <c r="G71" s="138"/>
      <c r="H71" s="139"/>
      <c r="I71" s="140"/>
      <c r="J71" s="140"/>
      <c r="L71" s="136"/>
      <c r="M71" s="136"/>
      <c r="N71" s="136"/>
      <c r="O71" s="136"/>
      <c r="P71" s="131"/>
      <c r="Q71" s="128"/>
      <c r="R71" s="128"/>
      <c r="S71" s="128"/>
    </row>
    <row r="72" spans="1:19" s="164" customFormat="1" ht="12" customHeight="1">
      <c r="A72" s="137"/>
      <c r="B72" s="133"/>
      <c r="C72" s="138"/>
      <c r="D72" s="138"/>
      <c r="E72" s="138"/>
      <c r="F72" s="138"/>
      <c r="G72" s="138"/>
      <c r="H72" s="139"/>
      <c r="I72" s="140"/>
      <c r="J72" s="140"/>
      <c r="L72" s="136"/>
      <c r="M72" s="136"/>
      <c r="N72" s="136"/>
      <c r="O72" s="136"/>
      <c r="P72" s="131"/>
      <c r="Q72" s="128"/>
      <c r="R72" s="128"/>
      <c r="S72" s="128"/>
    </row>
    <row r="73" spans="1:19" s="164" customFormat="1" ht="12" customHeight="1">
      <c r="A73" s="137"/>
      <c r="B73" s="133"/>
      <c r="C73" s="138"/>
      <c r="D73" s="138"/>
      <c r="E73" s="138"/>
      <c r="F73" s="138"/>
      <c r="G73" s="138"/>
      <c r="H73" s="139"/>
      <c r="I73" s="140"/>
      <c r="J73" s="140"/>
      <c r="L73" s="136"/>
      <c r="M73" s="136"/>
      <c r="N73" s="136"/>
      <c r="O73" s="136"/>
      <c r="P73" s="131"/>
      <c r="Q73" s="128"/>
      <c r="R73" s="128"/>
      <c r="S73" s="128"/>
    </row>
    <row r="74" spans="1:19" s="164" customFormat="1" ht="12" customHeight="1">
      <c r="A74" s="137"/>
      <c r="B74" s="133"/>
      <c r="C74" s="138"/>
      <c r="D74" s="138"/>
      <c r="E74" s="138"/>
      <c r="F74" s="138"/>
      <c r="G74" s="138"/>
      <c r="H74" s="139"/>
      <c r="I74" s="140"/>
      <c r="J74" s="140"/>
      <c r="L74" s="136"/>
      <c r="M74" s="136"/>
      <c r="N74" s="136"/>
      <c r="O74" s="136"/>
      <c r="P74" s="131"/>
      <c r="Q74" s="128"/>
      <c r="R74" s="128"/>
      <c r="S74" s="128"/>
    </row>
    <row r="75" spans="1:19" s="164" customFormat="1" ht="12" customHeight="1">
      <c r="A75" s="137"/>
      <c r="B75" s="133"/>
      <c r="C75" s="138"/>
      <c r="D75" s="138"/>
      <c r="E75" s="138"/>
      <c r="F75" s="138"/>
      <c r="G75" s="138"/>
      <c r="H75" s="139"/>
      <c r="I75" s="140"/>
      <c r="J75" s="140"/>
      <c r="L75" s="136"/>
      <c r="M75" s="136"/>
      <c r="N75" s="136"/>
      <c r="O75" s="136"/>
      <c r="P75" s="131"/>
      <c r="Q75" s="128"/>
      <c r="R75" s="128"/>
      <c r="S75" s="128"/>
    </row>
    <row r="76" spans="1:19" s="164" customFormat="1" ht="12" customHeight="1">
      <c r="A76" s="137"/>
      <c r="B76" s="133"/>
      <c r="C76" s="138"/>
      <c r="D76" s="138"/>
      <c r="E76" s="138"/>
      <c r="F76" s="138"/>
      <c r="G76" s="138"/>
      <c r="H76" s="139"/>
      <c r="I76" s="140"/>
      <c r="J76" s="140"/>
      <c r="L76" s="136"/>
      <c r="M76" s="136"/>
      <c r="N76" s="136"/>
      <c r="O76" s="136"/>
      <c r="P76" s="131"/>
      <c r="Q76" s="128"/>
      <c r="R76" s="128"/>
      <c r="S76" s="128"/>
    </row>
    <row r="77" spans="1:19" s="164" customFormat="1" ht="12" customHeight="1">
      <c r="A77" s="137"/>
      <c r="B77" s="133"/>
      <c r="C77" s="138"/>
      <c r="D77" s="138"/>
      <c r="E77" s="138"/>
      <c r="F77" s="138"/>
      <c r="G77" s="138"/>
      <c r="H77" s="139"/>
      <c r="I77" s="140"/>
      <c r="J77" s="140"/>
      <c r="L77" s="136"/>
      <c r="M77" s="136"/>
      <c r="N77" s="136"/>
      <c r="O77" s="136"/>
      <c r="P77" s="131"/>
      <c r="Q77" s="128"/>
      <c r="R77" s="128"/>
      <c r="S77" s="128"/>
    </row>
    <row r="78" spans="1:19" s="164" customFormat="1" ht="12" customHeight="1">
      <c r="A78" s="137"/>
      <c r="B78" s="133"/>
      <c r="C78" s="138"/>
      <c r="D78" s="138"/>
      <c r="E78" s="138"/>
      <c r="F78" s="138"/>
      <c r="G78" s="138"/>
      <c r="H78" s="139"/>
      <c r="I78" s="140"/>
      <c r="J78" s="140"/>
      <c r="L78" s="136"/>
      <c r="M78" s="136"/>
      <c r="N78" s="136"/>
      <c r="O78" s="136"/>
      <c r="P78" s="131"/>
      <c r="Q78" s="128"/>
      <c r="R78" s="128"/>
      <c r="S78" s="128"/>
    </row>
    <row r="79" spans="1:19" s="164" customFormat="1" ht="12" customHeight="1">
      <c r="A79" s="137"/>
      <c r="B79" s="133"/>
      <c r="C79" s="138"/>
      <c r="D79" s="138"/>
      <c r="E79" s="138"/>
      <c r="F79" s="138"/>
      <c r="G79" s="138"/>
      <c r="H79" s="139"/>
      <c r="I79" s="140"/>
      <c r="J79" s="140"/>
      <c r="L79" s="136"/>
      <c r="M79" s="136"/>
      <c r="N79" s="136"/>
      <c r="O79" s="136"/>
      <c r="P79" s="131"/>
      <c r="Q79" s="128"/>
      <c r="R79" s="128"/>
      <c r="S79" s="128"/>
    </row>
    <row r="80" spans="1:19" s="164" customFormat="1" ht="12" customHeight="1">
      <c r="A80" s="137"/>
      <c r="B80" s="133"/>
      <c r="C80" s="138"/>
      <c r="D80" s="138"/>
      <c r="E80" s="138"/>
      <c r="F80" s="138"/>
      <c r="G80" s="138"/>
      <c r="H80" s="139"/>
      <c r="I80" s="140"/>
      <c r="J80" s="140"/>
      <c r="L80" s="136"/>
      <c r="M80" s="136"/>
      <c r="N80" s="136"/>
      <c r="O80" s="136"/>
      <c r="P80" s="131"/>
      <c r="Q80" s="128"/>
      <c r="R80" s="128"/>
      <c r="S80" s="128"/>
    </row>
    <row r="81" spans="1:19" s="164" customFormat="1" ht="12" customHeight="1">
      <c r="A81" s="137"/>
      <c r="B81" s="133"/>
      <c r="C81" s="138"/>
      <c r="D81" s="138"/>
      <c r="E81" s="138"/>
      <c r="F81" s="138"/>
      <c r="G81" s="138"/>
      <c r="H81" s="139"/>
      <c r="I81" s="140"/>
      <c r="J81" s="140"/>
      <c r="L81" s="136"/>
      <c r="M81" s="136"/>
      <c r="N81" s="136"/>
      <c r="O81" s="136"/>
      <c r="P81" s="131"/>
      <c r="Q81" s="128"/>
      <c r="R81" s="128"/>
      <c r="S81" s="128"/>
    </row>
    <row r="82" spans="1:19" s="164" customFormat="1" ht="12" customHeight="1">
      <c r="A82" s="137"/>
      <c r="B82" s="133"/>
      <c r="C82" s="138"/>
      <c r="D82" s="138"/>
      <c r="E82" s="138"/>
      <c r="F82" s="138"/>
      <c r="G82" s="138"/>
      <c r="H82" s="139"/>
      <c r="I82" s="140"/>
      <c r="J82" s="140"/>
      <c r="L82" s="136"/>
      <c r="M82" s="136"/>
      <c r="N82" s="136"/>
      <c r="O82" s="136"/>
      <c r="P82" s="131"/>
      <c r="Q82" s="128"/>
      <c r="R82" s="128"/>
      <c r="S82" s="128"/>
    </row>
    <row r="83" spans="1:19" s="164" customFormat="1" ht="12" customHeight="1">
      <c r="A83" s="137"/>
      <c r="B83" s="133"/>
      <c r="C83" s="138"/>
      <c r="D83" s="138"/>
      <c r="E83" s="138"/>
      <c r="F83" s="138"/>
      <c r="G83" s="138"/>
      <c r="H83" s="139"/>
      <c r="I83" s="140"/>
      <c r="J83" s="140"/>
      <c r="L83" s="136"/>
      <c r="M83" s="136"/>
      <c r="N83" s="136"/>
      <c r="O83" s="136"/>
      <c r="P83" s="131"/>
      <c r="Q83" s="128"/>
      <c r="R83" s="128"/>
      <c r="S83" s="128"/>
    </row>
    <row r="84" spans="1:19" s="164" customFormat="1" ht="12" customHeight="1">
      <c r="A84" s="137"/>
      <c r="B84" s="133"/>
      <c r="C84" s="138"/>
      <c r="D84" s="138"/>
      <c r="E84" s="138"/>
      <c r="F84" s="138"/>
      <c r="G84" s="138"/>
      <c r="H84" s="139"/>
      <c r="I84" s="140"/>
      <c r="J84" s="140"/>
      <c r="L84" s="136"/>
      <c r="M84" s="136"/>
      <c r="N84" s="136"/>
      <c r="O84" s="136"/>
      <c r="P84" s="131"/>
      <c r="Q84" s="128"/>
      <c r="R84" s="128"/>
      <c r="S84" s="128"/>
    </row>
    <row r="85" spans="1:19" s="164" customFormat="1" ht="12" customHeight="1">
      <c r="A85" s="137"/>
      <c r="B85" s="133"/>
      <c r="C85" s="138"/>
      <c r="D85" s="138"/>
      <c r="E85" s="138"/>
      <c r="F85" s="138"/>
      <c r="G85" s="138"/>
      <c r="H85" s="139"/>
      <c r="I85" s="140"/>
      <c r="J85" s="140"/>
      <c r="L85" s="136"/>
      <c r="M85" s="136"/>
      <c r="N85" s="136"/>
      <c r="O85" s="136"/>
      <c r="P85" s="131"/>
      <c r="Q85" s="128"/>
      <c r="R85" s="128"/>
      <c r="S85" s="128"/>
    </row>
    <row r="86" spans="1:19" s="164" customFormat="1" ht="12" customHeight="1">
      <c r="A86" s="137"/>
      <c r="B86" s="133"/>
      <c r="C86" s="138"/>
      <c r="D86" s="138"/>
      <c r="E86" s="138"/>
      <c r="F86" s="138"/>
      <c r="G86" s="138"/>
      <c r="H86" s="139"/>
      <c r="I86" s="140"/>
      <c r="J86" s="140"/>
      <c r="L86" s="136"/>
      <c r="M86" s="136"/>
      <c r="N86" s="136"/>
      <c r="O86" s="136"/>
      <c r="P86" s="131"/>
      <c r="Q86" s="128"/>
      <c r="R86" s="128"/>
      <c r="S86" s="128"/>
    </row>
    <row r="87" spans="1:19" s="164" customFormat="1" ht="12" customHeight="1">
      <c r="A87" s="137"/>
      <c r="B87" s="133"/>
      <c r="C87" s="138"/>
      <c r="D87" s="138"/>
      <c r="E87" s="138"/>
      <c r="F87" s="138"/>
      <c r="G87" s="138"/>
      <c r="H87" s="139"/>
      <c r="I87" s="140"/>
      <c r="J87" s="140"/>
      <c r="L87" s="136"/>
      <c r="M87" s="136"/>
      <c r="N87" s="136"/>
      <c r="O87" s="136"/>
      <c r="P87" s="131"/>
      <c r="Q87" s="128"/>
      <c r="R87" s="128"/>
      <c r="S87" s="128"/>
    </row>
    <row r="88" spans="1:19" s="164" customFormat="1" ht="12" customHeight="1">
      <c r="A88" s="137"/>
      <c r="B88" s="133"/>
      <c r="C88" s="138"/>
      <c r="D88" s="138"/>
      <c r="E88" s="138"/>
      <c r="F88" s="138"/>
      <c r="G88" s="138"/>
      <c r="H88" s="139"/>
      <c r="I88" s="140"/>
      <c r="J88" s="140"/>
      <c r="L88" s="136"/>
      <c r="M88" s="136"/>
      <c r="N88" s="136"/>
      <c r="O88" s="136"/>
      <c r="P88" s="131"/>
      <c r="Q88" s="128"/>
      <c r="R88" s="128"/>
      <c r="S88" s="128"/>
    </row>
    <row r="89" spans="1:19" s="164" customFormat="1" ht="12" customHeight="1">
      <c r="A89" s="137"/>
      <c r="B89" s="133"/>
      <c r="C89" s="138"/>
      <c r="D89" s="138"/>
      <c r="E89" s="138"/>
      <c r="F89" s="138"/>
      <c r="G89" s="138"/>
      <c r="H89" s="139"/>
      <c r="I89" s="140"/>
      <c r="J89" s="140"/>
      <c r="L89" s="136"/>
      <c r="M89" s="136"/>
      <c r="N89" s="136"/>
      <c r="O89" s="136"/>
      <c r="P89" s="131"/>
      <c r="Q89" s="128"/>
      <c r="R89" s="128"/>
      <c r="S89" s="128"/>
    </row>
    <row r="90" spans="1:19" s="164" customFormat="1" ht="12" customHeight="1">
      <c r="A90" s="137"/>
      <c r="B90" s="133"/>
      <c r="C90" s="138"/>
      <c r="D90" s="138"/>
      <c r="E90" s="138"/>
      <c r="F90" s="138"/>
      <c r="G90" s="138"/>
      <c r="H90" s="139"/>
      <c r="I90" s="140"/>
      <c r="J90" s="140"/>
      <c r="L90" s="136"/>
      <c r="M90" s="136"/>
      <c r="N90" s="136"/>
      <c r="O90" s="136"/>
      <c r="P90" s="131"/>
      <c r="Q90" s="128"/>
      <c r="R90" s="128"/>
      <c r="S90" s="128"/>
    </row>
    <row r="91" spans="1:19" s="164" customFormat="1" ht="12" customHeight="1">
      <c r="A91" s="137"/>
      <c r="B91" s="133"/>
      <c r="C91" s="138"/>
      <c r="D91" s="138"/>
      <c r="E91" s="138"/>
      <c r="F91" s="138"/>
      <c r="G91" s="138"/>
      <c r="H91" s="139"/>
      <c r="I91" s="140"/>
      <c r="J91" s="140"/>
      <c r="L91" s="136"/>
      <c r="M91" s="136"/>
      <c r="N91" s="136"/>
      <c r="O91" s="136"/>
      <c r="P91" s="131"/>
      <c r="Q91" s="128"/>
      <c r="R91" s="128"/>
      <c r="S91" s="128"/>
    </row>
    <row r="92" spans="1:19" s="164" customFormat="1" ht="12" customHeight="1">
      <c r="A92" s="137"/>
      <c r="B92" s="133"/>
      <c r="C92" s="138"/>
      <c r="D92" s="138"/>
      <c r="E92" s="138"/>
      <c r="F92" s="138"/>
      <c r="G92" s="138"/>
      <c r="H92" s="139"/>
      <c r="I92" s="140"/>
      <c r="J92" s="140"/>
      <c r="L92" s="136"/>
      <c r="M92" s="136"/>
      <c r="N92" s="136"/>
      <c r="O92" s="136"/>
      <c r="P92" s="131"/>
      <c r="Q92" s="128"/>
      <c r="R92" s="128"/>
      <c r="S92" s="128"/>
    </row>
    <row r="93" spans="1:19" s="164" customFormat="1" ht="12" customHeight="1">
      <c r="A93" s="137"/>
      <c r="B93" s="133"/>
      <c r="C93" s="138"/>
      <c r="D93" s="138"/>
      <c r="E93" s="138"/>
      <c r="F93" s="138"/>
      <c r="G93" s="138"/>
      <c r="H93" s="139"/>
      <c r="I93" s="140"/>
      <c r="J93" s="140"/>
      <c r="L93" s="136"/>
      <c r="M93" s="136"/>
      <c r="N93" s="136"/>
      <c r="O93" s="136"/>
      <c r="P93" s="131"/>
      <c r="Q93" s="128"/>
      <c r="R93" s="128"/>
      <c r="S93" s="128"/>
    </row>
    <row r="94" spans="1:19" s="164" customFormat="1" ht="12" customHeight="1">
      <c r="A94" s="137"/>
      <c r="B94" s="133"/>
      <c r="C94" s="138"/>
      <c r="D94" s="138"/>
      <c r="E94" s="138"/>
      <c r="F94" s="138"/>
      <c r="G94" s="138"/>
      <c r="H94" s="139"/>
      <c r="I94" s="140"/>
      <c r="J94" s="140"/>
      <c r="L94" s="136"/>
      <c r="M94" s="136"/>
      <c r="N94" s="136"/>
      <c r="O94" s="136"/>
      <c r="P94" s="131"/>
      <c r="Q94" s="128"/>
      <c r="R94" s="128"/>
      <c r="S94" s="128"/>
    </row>
    <row r="95" spans="1:19" s="164" customFormat="1" ht="12" customHeight="1">
      <c r="A95" s="137"/>
      <c r="B95" s="133"/>
      <c r="C95" s="138"/>
      <c r="D95" s="138"/>
      <c r="E95" s="138"/>
      <c r="F95" s="138"/>
      <c r="G95" s="138"/>
      <c r="H95" s="139"/>
      <c r="I95" s="140"/>
      <c r="J95" s="140"/>
      <c r="L95" s="136"/>
      <c r="M95" s="136"/>
      <c r="N95" s="136"/>
      <c r="O95" s="136"/>
      <c r="P95" s="131"/>
      <c r="Q95" s="128"/>
      <c r="R95" s="128"/>
      <c r="S95" s="128"/>
    </row>
    <row r="96" spans="1:19" s="164" customFormat="1" ht="12" customHeight="1">
      <c r="A96" s="137"/>
      <c r="B96" s="133"/>
      <c r="C96" s="138"/>
      <c r="D96" s="138"/>
      <c r="E96" s="138"/>
      <c r="F96" s="138"/>
      <c r="G96" s="138"/>
      <c r="H96" s="139"/>
      <c r="I96" s="140"/>
      <c r="J96" s="140"/>
      <c r="L96" s="136"/>
      <c r="M96" s="136"/>
      <c r="N96" s="136"/>
      <c r="O96" s="136"/>
      <c r="P96" s="131"/>
      <c r="Q96" s="128"/>
      <c r="R96" s="128"/>
      <c r="S96" s="128"/>
    </row>
    <row r="97" spans="1:19" s="164" customFormat="1" ht="12" customHeight="1">
      <c r="A97" s="137"/>
      <c r="B97" s="133"/>
      <c r="C97" s="138"/>
      <c r="D97" s="138"/>
      <c r="E97" s="138"/>
      <c r="F97" s="138"/>
      <c r="G97" s="138"/>
      <c r="H97" s="139"/>
      <c r="I97" s="140"/>
      <c r="J97" s="140"/>
      <c r="L97" s="136"/>
      <c r="M97" s="136"/>
      <c r="N97" s="136"/>
      <c r="O97" s="136"/>
      <c r="P97" s="131"/>
      <c r="Q97" s="128"/>
      <c r="R97" s="128"/>
      <c r="S97" s="128"/>
    </row>
    <row r="98" spans="1:19" s="164" customFormat="1" ht="12" customHeight="1">
      <c r="A98" s="137"/>
      <c r="B98" s="133"/>
      <c r="C98" s="138"/>
      <c r="D98" s="138"/>
      <c r="E98" s="138"/>
      <c r="F98" s="138"/>
      <c r="G98" s="138"/>
      <c r="H98" s="139"/>
      <c r="I98" s="140"/>
      <c r="J98" s="140"/>
      <c r="L98" s="136"/>
      <c r="M98" s="136"/>
      <c r="N98" s="136"/>
      <c r="O98" s="136"/>
      <c r="P98" s="131"/>
      <c r="Q98" s="128"/>
      <c r="R98" s="128"/>
      <c r="S98" s="128"/>
    </row>
    <row r="99" spans="1:19" s="164" customFormat="1" ht="12" customHeight="1">
      <c r="A99" s="137"/>
      <c r="B99" s="133"/>
      <c r="C99" s="138"/>
      <c r="D99" s="138"/>
      <c r="E99" s="138"/>
      <c r="F99" s="138"/>
      <c r="G99" s="138"/>
      <c r="H99" s="139"/>
      <c r="I99" s="140"/>
      <c r="J99" s="140"/>
      <c r="L99" s="136"/>
      <c r="M99" s="136"/>
      <c r="N99" s="136"/>
      <c r="O99" s="136"/>
      <c r="P99" s="131"/>
      <c r="Q99" s="128"/>
      <c r="R99" s="128"/>
      <c r="S99" s="128"/>
    </row>
    <row r="100" spans="1:19" s="164" customFormat="1" ht="12" customHeight="1">
      <c r="A100" s="137"/>
      <c r="B100" s="133"/>
      <c r="C100" s="138"/>
      <c r="D100" s="138"/>
      <c r="E100" s="138"/>
      <c r="F100" s="138"/>
      <c r="G100" s="138"/>
      <c r="H100" s="139"/>
      <c r="I100" s="140"/>
      <c r="J100" s="140"/>
      <c r="L100" s="136"/>
      <c r="M100" s="136"/>
      <c r="N100" s="136"/>
      <c r="O100" s="136"/>
      <c r="P100" s="131"/>
      <c r="Q100" s="128"/>
      <c r="R100" s="128"/>
      <c r="S100" s="128"/>
    </row>
    <row r="101" spans="1:19" s="164" customFormat="1" ht="12" customHeight="1">
      <c r="A101" s="137"/>
      <c r="B101" s="133"/>
      <c r="C101" s="138"/>
      <c r="D101" s="138"/>
      <c r="E101" s="138"/>
      <c r="F101" s="138"/>
      <c r="G101" s="138"/>
      <c r="H101" s="139"/>
      <c r="I101" s="140"/>
      <c r="J101" s="140"/>
      <c r="L101" s="136"/>
      <c r="M101" s="136"/>
      <c r="N101" s="136"/>
      <c r="O101" s="136"/>
      <c r="P101" s="131"/>
      <c r="Q101" s="128"/>
      <c r="R101" s="128"/>
      <c r="S101" s="128"/>
    </row>
    <row r="102" spans="1:19" s="164" customFormat="1" ht="12" customHeight="1">
      <c r="A102" s="137"/>
      <c r="B102" s="133"/>
      <c r="C102" s="138"/>
      <c r="D102" s="138"/>
      <c r="E102" s="138"/>
      <c r="F102" s="138"/>
      <c r="G102" s="138"/>
      <c r="H102" s="139"/>
      <c r="I102" s="140"/>
      <c r="J102" s="140"/>
      <c r="L102" s="136"/>
      <c r="M102" s="136"/>
      <c r="N102" s="136"/>
      <c r="O102" s="136"/>
      <c r="P102" s="131"/>
      <c r="Q102" s="128"/>
      <c r="R102" s="128"/>
      <c r="S102" s="128"/>
    </row>
    <row r="103" spans="1:19" s="164" customFormat="1" ht="12" customHeight="1">
      <c r="A103" s="137"/>
      <c r="B103" s="133"/>
      <c r="C103" s="138"/>
      <c r="D103" s="138"/>
      <c r="E103" s="138"/>
      <c r="F103" s="138"/>
      <c r="G103" s="138"/>
      <c r="H103" s="139"/>
      <c r="I103" s="140"/>
      <c r="J103" s="140"/>
      <c r="L103" s="136"/>
      <c r="M103" s="136"/>
      <c r="N103" s="136"/>
      <c r="O103" s="136"/>
      <c r="P103" s="131"/>
      <c r="Q103" s="128"/>
      <c r="R103" s="128"/>
      <c r="S103" s="128"/>
    </row>
    <row r="104" spans="1:19" s="164" customFormat="1" ht="12" customHeight="1">
      <c r="A104" s="137"/>
      <c r="B104" s="133"/>
      <c r="C104" s="138"/>
      <c r="D104" s="138"/>
      <c r="E104" s="138"/>
      <c r="F104" s="138"/>
      <c r="G104" s="138"/>
      <c r="H104" s="139"/>
      <c r="I104" s="140"/>
      <c r="J104" s="140"/>
      <c r="L104" s="136"/>
      <c r="M104" s="136"/>
      <c r="N104" s="136"/>
      <c r="O104" s="136"/>
      <c r="P104" s="131"/>
      <c r="Q104" s="128"/>
      <c r="R104" s="128"/>
      <c r="S104" s="128"/>
    </row>
    <row r="105" spans="1:19" s="164" customFormat="1" ht="12" customHeight="1">
      <c r="A105" s="137"/>
      <c r="B105" s="133"/>
      <c r="C105" s="138"/>
      <c r="D105" s="138"/>
      <c r="E105" s="138"/>
      <c r="F105" s="138"/>
      <c r="G105" s="138"/>
      <c r="H105" s="139"/>
      <c r="I105" s="140"/>
      <c r="J105" s="140"/>
      <c r="L105" s="136"/>
      <c r="M105" s="136"/>
      <c r="N105" s="136"/>
      <c r="O105" s="136"/>
      <c r="P105" s="131"/>
      <c r="Q105" s="128"/>
      <c r="R105" s="128"/>
      <c r="S105" s="128"/>
    </row>
    <row r="106" spans="1:19" s="164" customFormat="1" ht="12" customHeight="1">
      <c r="A106" s="137"/>
      <c r="B106" s="133"/>
      <c r="C106" s="138"/>
      <c r="D106" s="138"/>
      <c r="E106" s="138"/>
      <c r="F106" s="138"/>
      <c r="G106" s="138"/>
      <c r="H106" s="139"/>
      <c r="I106" s="140"/>
      <c r="J106" s="140"/>
      <c r="L106" s="136"/>
      <c r="M106" s="136"/>
      <c r="N106" s="136"/>
      <c r="O106" s="136"/>
      <c r="P106" s="131"/>
      <c r="Q106" s="128"/>
      <c r="R106" s="128"/>
      <c r="S106" s="128"/>
    </row>
    <row r="107" spans="1:19" s="164" customFormat="1" ht="12" customHeight="1">
      <c r="A107" s="137"/>
      <c r="B107" s="133"/>
      <c r="C107" s="138"/>
      <c r="D107" s="138"/>
      <c r="E107" s="138"/>
      <c r="F107" s="138"/>
      <c r="G107" s="138"/>
      <c r="H107" s="139"/>
      <c r="I107" s="140"/>
      <c r="J107" s="140"/>
      <c r="L107" s="136"/>
      <c r="M107" s="136"/>
      <c r="N107" s="136"/>
      <c r="O107" s="136"/>
      <c r="P107" s="131"/>
      <c r="Q107" s="128"/>
      <c r="R107" s="128"/>
      <c r="S107" s="128"/>
    </row>
    <row r="108" spans="1:19" s="164" customFormat="1" ht="12" customHeight="1">
      <c r="A108" s="137"/>
      <c r="B108" s="133"/>
      <c r="C108" s="138"/>
      <c r="D108" s="138"/>
      <c r="E108" s="138"/>
      <c r="F108" s="138"/>
      <c r="G108" s="138"/>
      <c r="H108" s="139"/>
      <c r="I108" s="140"/>
      <c r="J108" s="140"/>
      <c r="L108" s="136"/>
      <c r="M108" s="136"/>
      <c r="N108" s="136"/>
      <c r="O108" s="136"/>
      <c r="P108" s="131"/>
      <c r="Q108" s="128"/>
      <c r="R108" s="128"/>
      <c r="S108" s="128"/>
    </row>
    <row r="109" spans="1:19" s="164" customFormat="1" ht="12" customHeight="1">
      <c r="A109" s="137"/>
      <c r="B109" s="133"/>
      <c r="C109" s="138"/>
      <c r="D109" s="138"/>
      <c r="E109" s="138"/>
      <c r="F109" s="138"/>
      <c r="G109" s="138"/>
      <c r="H109" s="139"/>
      <c r="I109" s="140"/>
      <c r="J109" s="140"/>
      <c r="L109" s="136"/>
      <c r="M109" s="136"/>
      <c r="N109" s="136"/>
      <c r="O109" s="136"/>
      <c r="P109" s="131"/>
      <c r="Q109" s="128"/>
      <c r="R109" s="128"/>
      <c r="S109" s="128"/>
    </row>
    <row r="110" spans="1:19" s="164" customFormat="1" ht="12" customHeight="1">
      <c r="A110" s="137"/>
      <c r="B110" s="133"/>
      <c r="C110" s="138"/>
      <c r="D110" s="138"/>
      <c r="E110" s="138"/>
      <c r="F110" s="138"/>
      <c r="G110" s="138"/>
      <c r="H110" s="139"/>
      <c r="I110" s="140"/>
      <c r="J110" s="140"/>
      <c r="L110" s="136"/>
      <c r="M110" s="136"/>
      <c r="N110" s="136"/>
      <c r="O110" s="136"/>
      <c r="P110" s="131"/>
      <c r="Q110" s="128"/>
      <c r="R110" s="128"/>
      <c r="S110" s="128"/>
    </row>
    <row r="111" spans="1:19" s="164" customFormat="1" ht="12" customHeight="1">
      <c r="A111" s="137"/>
      <c r="B111" s="133"/>
      <c r="C111" s="138"/>
      <c r="D111" s="138"/>
      <c r="E111" s="138"/>
      <c r="F111" s="138"/>
      <c r="G111" s="138"/>
      <c r="H111" s="139"/>
      <c r="I111" s="140"/>
      <c r="J111" s="140"/>
      <c r="L111" s="136"/>
      <c r="M111" s="136"/>
      <c r="N111" s="136"/>
      <c r="O111" s="136"/>
      <c r="P111" s="131"/>
      <c r="Q111" s="128"/>
      <c r="R111" s="128"/>
      <c r="S111" s="128"/>
    </row>
    <row r="112" spans="1:19" s="164" customFormat="1" ht="12" customHeight="1">
      <c r="A112" s="137"/>
      <c r="B112" s="133"/>
      <c r="C112" s="138"/>
      <c r="D112" s="138"/>
      <c r="E112" s="138"/>
      <c r="F112" s="138"/>
      <c r="G112" s="138"/>
      <c r="H112" s="139"/>
      <c r="I112" s="140"/>
      <c r="J112" s="140"/>
      <c r="L112" s="136"/>
      <c r="M112" s="136"/>
      <c r="N112" s="136"/>
      <c r="O112" s="136"/>
      <c r="P112" s="131"/>
      <c r="Q112" s="128"/>
      <c r="R112" s="128"/>
      <c r="S112" s="128"/>
    </row>
    <row r="113" spans="1:19" s="164" customFormat="1" ht="12" customHeight="1">
      <c r="A113" s="137"/>
      <c r="B113" s="133"/>
      <c r="C113" s="138"/>
      <c r="D113" s="138"/>
      <c r="E113" s="138"/>
      <c r="F113" s="138"/>
      <c r="G113" s="138"/>
      <c r="H113" s="139"/>
      <c r="I113" s="140"/>
      <c r="J113" s="140"/>
      <c r="L113" s="136"/>
      <c r="M113" s="136"/>
      <c r="N113" s="136"/>
      <c r="O113" s="136"/>
      <c r="P113" s="131"/>
      <c r="Q113" s="128"/>
      <c r="R113" s="128"/>
      <c r="S113" s="128"/>
    </row>
    <row r="114" spans="1:19" s="164" customFormat="1" ht="12" customHeight="1">
      <c r="A114" s="137"/>
      <c r="B114" s="133"/>
      <c r="C114" s="138"/>
      <c r="D114" s="138"/>
      <c r="E114" s="138"/>
      <c r="F114" s="138"/>
      <c r="G114" s="138"/>
      <c r="H114" s="139"/>
      <c r="I114" s="140"/>
      <c r="J114" s="140"/>
      <c r="L114" s="136"/>
      <c r="M114" s="136"/>
      <c r="N114" s="136"/>
      <c r="O114" s="136"/>
      <c r="P114" s="131"/>
      <c r="Q114" s="128"/>
      <c r="R114" s="128"/>
      <c r="S114" s="128"/>
    </row>
    <row r="115" spans="1:19" s="164" customFormat="1" ht="12" customHeight="1">
      <c r="A115" s="137"/>
      <c r="B115" s="133"/>
      <c r="C115" s="138"/>
      <c r="D115" s="138"/>
      <c r="E115" s="138"/>
      <c r="F115" s="138"/>
      <c r="G115" s="138"/>
      <c r="H115" s="139"/>
      <c r="I115" s="140"/>
      <c r="J115" s="140"/>
      <c r="L115" s="136"/>
      <c r="M115" s="136"/>
      <c r="N115" s="136"/>
      <c r="O115" s="136"/>
      <c r="P115" s="131"/>
      <c r="Q115" s="128"/>
      <c r="R115" s="128"/>
      <c r="S115" s="128"/>
    </row>
    <row r="116" spans="1:19" s="164" customFormat="1" ht="12" customHeight="1">
      <c r="A116" s="137"/>
      <c r="B116" s="133"/>
      <c r="C116" s="138"/>
      <c r="D116" s="138"/>
      <c r="E116" s="138"/>
      <c r="F116" s="138"/>
      <c r="G116" s="138"/>
      <c r="H116" s="139"/>
      <c r="I116" s="140"/>
      <c r="J116" s="140"/>
      <c r="L116" s="136"/>
      <c r="M116" s="136"/>
      <c r="N116" s="136"/>
      <c r="O116" s="136"/>
      <c r="P116" s="131"/>
      <c r="Q116" s="128"/>
      <c r="R116" s="128"/>
      <c r="S116" s="128"/>
    </row>
    <row r="117" spans="1:19" s="164" customFormat="1" ht="12" customHeight="1">
      <c r="A117" s="137"/>
      <c r="B117" s="133"/>
      <c r="C117" s="138"/>
      <c r="D117" s="138"/>
      <c r="E117" s="138"/>
      <c r="F117" s="138"/>
      <c r="G117" s="138"/>
      <c r="H117" s="139"/>
      <c r="I117" s="140"/>
      <c r="J117" s="140"/>
      <c r="L117" s="136"/>
      <c r="M117" s="136"/>
      <c r="N117" s="136"/>
      <c r="O117" s="136"/>
      <c r="P117" s="131"/>
      <c r="Q117" s="128"/>
      <c r="R117" s="128"/>
      <c r="S117" s="128"/>
    </row>
    <row r="118" spans="1:19" s="164" customFormat="1" ht="12" customHeight="1">
      <c r="A118" s="137"/>
      <c r="B118" s="133"/>
      <c r="C118" s="138"/>
      <c r="D118" s="138"/>
      <c r="E118" s="138"/>
      <c r="F118" s="138"/>
      <c r="G118" s="138"/>
      <c r="H118" s="139"/>
      <c r="I118" s="140"/>
      <c r="J118" s="140"/>
      <c r="L118" s="136"/>
      <c r="M118" s="136"/>
      <c r="N118" s="136"/>
      <c r="O118" s="136"/>
      <c r="P118" s="131"/>
      <c r="Q118" s="128"/>
      <c r="R118" s="128"/>
      <c r="S118" s="128"/>
    </row>
    <row r="119" spans="1:19" s="164" customFormat="1" ht="12" customHeight="1">
      <c r="A119" s="137"/>
      <c r="B119" s="133"/>
      <c r="C119" s="138"/>
      <c r="D119" s="138"/>
      <c r="E119" s="138"/>
      <c r="F119" s="138"/>
      <c r="G119" s="138"/>
      <c r="H119" s="139"/>
      <c r="I119" s="140"/>
      <c r="J119" s="140"/>
      <c r="L119" s="136"/>
      <c r="M119" s="136"/>
      <c r="N119" s="136"/>
      <c r="O119" s="136"/>
      <c r="P119" s="131"/>
      <c r="Q119" s="128"/>
      <c r="R119" s="128"/>
      <c r="S119" s="128"/>
    </row>
    <row r="120" spans="1:19" s="164" customFormat="1" ht="12" customHeight="1">
      <c r="A120" s="137"/>
      <c r="B120" s="133"/>
      <c r="C120" s="138"/>
      <c r="D120" s="138"/>
      <c r="E120" s="138"/>
      <c r="F120" s="138"/>
      <c r="G120" s="138"/>
      <c r="H120" s="139"/>
      <c r="I120" s="140"/>
      <c r="J120" s="140"/>
      <c r="L120" s="136"/>
      <c r="M120" s="136"/>
      <c r="N120" s="136"/>
      <c r="O120" s="136"/>
      <c r="P120" s="131"/>
      <c r="Q120" s="128"/>
      <c r="R120" s="128"/>
      <c r="S120" s="128"/>
    </row>
    <row r="121" spans="1:19" s="164" customFormat="1" ht="12" customHeight="1">
      <c r="A121" s="137"/>
      <c r="B121" s="133"/>
      <c r="C121" s="138"/>
      <c r="D121" s="138"/>
      <c r="E121" s="138"/>
      <c r="F121" s="138"/>
      <c r="G121" s="138"/>
      <c r="H121" s="139"/>
      <c r="I121" s="140"/>
      <c r="J121" s="140"/>
      <c r="L121" s="136"/>
      <c r="M121" s="136"/>
      <c r="N121" s="136"/>
      <c r="O121" s="136"/>
      <c r="P121" s="131"/>
      <c r="Q121" s="128"/>
      <c r="R121" s="128"/>
      <c r="S121" s="128"/>
    </row>
    <row r="122" spans="1:19" s="164" customFormat="1" ht="12" customHeight="1">
      <c r="A122" s="137"/>
      <c r="B122" s="133"/>
      <c r="C122" s="138"/>
      <c r="D122" s="138"/>
      <c r="E122" s="138"/>
      <c r="F122" s="138"/>
      <c r="G122" s="138"/>
      <c r="H122" s="139"/>
      <c r="I122" s="140"/>
      <c r="J122" s="140"/>
      <c r="L122" s="136"/>
      <c r="M122" s="136"/>
      <c r="N122" s="136"/>
      <c r="O122" s="136"/>
      <c r="P122" s="131"/>
      <c r="Q122" s="128"/>
      <c r="R122" s="128"/>
      <c r="S122" s="128"/>
    </row>
    <row r="123" spans="1:19" s="164" customFormat="1" ht="12" customHeight="1">
      <c r="A123" s="137"/>
      <c r="B123" s="133"/>
      <c r="C123" s="138"/>
      <c r="D123" s="138"/>
      <c r="E123" s="138"/>
      <c r="F123" s="138"/>
      <c r="G123" s="138"/>
      <c r="H123" s="139"/>
      <c r="I123" s="140"/>
      <c r="J123" s="140"/>
      <c r="L123" s="136"/>
      <c r="M123" s="136"/>
      <c r="N123" s="136"/>
      <c r="O123" s="136"/>
      <c r="P123" s="131"/>
      <c r="Q123" s="128"/>
      <c r="R123" s="128"/>
      <c r="S123" s="128"/>
    </row>
    <row r="124" spans="1:19" s="164" customFormat="1" ht="12" customHeight="1">
      <c r="A124" s="137"/>
      <c r="B124" s="133"/>
      <c r="C124" s="138"/>
      <c r="D124" s="138"/>
      <c r="E124" s="138"/>
      <c r="F124" s="138"/>
      <c r="G124" s="138"/>
      <c r="H124" s="139"/>
      <c r="I124" s="140"/>
      <c r="J124" s="140"/>
      <c r="L124" s="136"/>
      <c r="M124" s="136"/>
      <c r="N124" s="136"/>
      <c r="O124" s="136"/>
      <c r="P124" s="131"/>
      <c r="Q124" s="128"/>
      <c r="R124" s="128"/>
      <c r="S124" s="128"/>
    </row>
  </sheetData>
  <mergeCells count="19">
    <mergeCell ref="Q4:Q5"/>
    <mergeCell ref="Q7:Q8"/>
    <mergeCell ref="A8:N8"/>
    <mergeCell ref="I4:K4"/>
    <mergeCell ref="L4:L5"/>
    <mergeCell ref="M4:M5"/>
    <mergeCell ref="N4:N5"/>
    <mergeCell ref="O4:O5"/>
    <mergeCell ref="P4:P5"/>
    <mergeCell ref="A4:A5"/>
    <mergeCell ref="B12:H12"/>
    <mergeCell ref="B16:M16"/>
    <mergeCell ref="B9:O9"/>
    <mergeCell ref="E4:E5"/>
    <mergeCell ref="F4:H4"/>
    <mergeCell ref="B4:B5"/>
    <mergeCell ref="C4:C5"/>
    <mergeCell ref="D4:D5"/>
    <mergeCell ref="A7:N7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62" fitToHeight="3" orientation="landscape" r:id="rId1"/>
  <headerFooter alignWithMargins="0"/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enableFormatConditionsCalculation="0">
    <tabColor indexed="43"/>
  </sheetPr>
  <dimension ref="A1:Q8"/>
  <sheetViews>
    <sheetView view="pageBreakPreview" zoomScale="85" zoomScaleNormal="55" workbookViewId="0">
      <selection activeCell="K16" sqref="K16"/>
    </sheetView>
  </sheetViews>
  <sheetFormatPr defaultRowHeight="13.5"/>
  <cols>
    <col min="1" max="1" width="3.77734375" customWidth="1"/>
    <col min="2" max="2" width="19.77734375" customWidth="1"/>
    <col min="3" max="3" width="36.77734375" customWidth="1"/>
    <col min="4" max="4" width="9.6640625" customWidth="1"/>
    <col min="6" max="16" width="10.33203125" customWidth="1"/>
    <col min="17" max="17" width="5.33203125" customWidth="1"/>
  </cols>
  <sheetData>
    <row r="1" spans="1:17" ht="39">
      <c r="A1" s="322"/>
      <c r="B1" s="659" t="s">
        <v>468</v>
      </c>
      <c r="C1" s="327" t="s">
        <v>821</v>
      </c>
      <c r="D1" s="322"/>
      <c r="E1" s="323"/>
      <c r="F1" s="322"/>
      <c r="G1" s="322"/>
      <c r="H1" s="121"/>
      <c r="I1" s="121"/>
      <c r="J1" s="121"/>
      <c r="K1" s="282"/>
      <c r="L1" s="121"/>
      <c r="M1" s="121"/>
      <c r="N1" s="121"/>
      <c r="O1" s="121"/>
      <c r="P1" s="122"/>
      <c r="Q1" s="124"/>
    </row>
    <row r="2" spans="1:17" ht="19.5">
      <c r="A2" s="322"/>
      <c r="B2" s="323"/>
      <c r="C2" s="322"/>
      <c r="D2" s="322"/>
      <c r="E2" s="323"/>
      <c r="F2" s="322"/>
      <c r="G2" s="322"/>
      <c r="H2" s="121"/>
      <c r="I2" s="121"/>
      <c r="J2" s="121"/>
      <c r="K2" s="282"/>
      <c r="L2" s="121"/>
      <c r="M2" s="121"/>
      <c r="N2" s="121"/>
      <c r="O2" s="121"/>
      <c r="P2" s="122"/>
      <c r="Q2" s="124"/>
    </row>
    <row r="3" spans="1:17" ht="20.25" thickBot="1">
      <c r="A3" s="322"/>
      <c r="B3" s="323" t="s">
        <v>41</v>
      </c>
      <c r="C3" s="322"/>
      <c r="D3" s="322"/>
      <c r="E3" s="323"/>
      <c r="F3" s="322"/>
      <c r="G3" s="322"/>
      <c r="H3" s="121"/>
      <c r="I3" s="121"/>
      <c r="J3" s="121"/>
      <c r="K3" s="282"/>
      <c r="L3" s="121"/>
      <c r="M3" s="121"/>
      <c r="N3" s="121"/>
      <c r="O3" s="121"/>
      <c r="P3" s="122"/>
      <c r="Q3" s="124"/>
    </row>
    <row r="4" spans="1:17">
      <c r="A4" s="948" t="s">
        <v>510</v>
      </c>
      <c r="B4" s="957" t="s">
        <v>511</v>
      </c>
      <c r="C4" s="959" t="s">
        <v>512</v>
      </c>
      <c r="D4" s="959" t="s">
        <v>513</v>
      </c>
      <c r="E4" s="955" t="s">
        <v>514</v>
      </c>
      <c r="F4" s="961" t="s">
        <v>515</v>
      </c>
      <c r="G4" s="951"/>
      <c r="H4" s="952"/>
      <c r="I4" s="951" t="s">
        <v>516</v>
      </c>
      <c r="J4" s="951"/>
      <c r="K4" s="952"/>
      <c r="L4" s="953" t="s">
        <v>517</v>
      </c>
      <c r="M4" s="955" t="s">
        <v>518</v>
      </c>
      <c r="N4" s="946" t="s">
        <v>519</v>
      </c>
      <c r="O4" s="946" t="s">
        <v>520</v>
      </c>
      <c r="P4" s="946" t="s">
        <v>521</v>
      </c>
      <c r="Q4" s="941" t="s">
        <v>522</v>
      </c>
    </row>
    <row r="5" spans="1:17" ht="24">
      <c r="A5" s="949"/>
      <c r="B5" s="958"/>
      <c r="C5" s="960"/>
      <c r="D5" s="960"/>
      <c r="E5" s="956"/>
      <c r="F5" s="183" t="s">
        <v>523</v>
      </c>
      <c r="G5" s="183" t="s">
        <v>524</v>
      </c>
      <c r="H5" s="184" t="s">
        <v>525</v>
      </c>
      <c r="I5" s="183" t="s">
        <v>526</v>
      </c>
      <c r="J5" s="183" t="s">
        <v>527</v>
      </c>
      <c r="K5" s="184" t="s">
        <v>528</v>
      </c>
      <c r="L5" s="954"/>
      <c r="M5" s="956"/>
      <c r="N5" s="947"/>
      <c r="O5" s="947"/>
      <c r="P5" s="947"/>
      <c r="Q5" s="942"/>
    </row>
    <row r="6" spans="1:17" ht="216">
      <c r="A6" s="660">
        <v>1</v>
      </c>
      <c r="B6" s="661" t="s">
        <v>529</v>
      </c>
      <c r="C6" s="661" t="s">
        <v>530</v>
      </c>
      <c r="D6" s="662" t="s">
        <v>531</v>
      </c>
      <c r="E6" s="663">
        <v>2202</v>
      </c>
      <c r="F6" s="664">
        <v>36894</v>
      </c>
      <c r="G6" s="664">
        <v>39204</v>
      </c>
      <c r="H6" s="665">
        <f>IF(G6-F6+1&gt;=2*365,2*365,G6-F6+1)</f>
        <v>730</v>
      </c>
      <c r="I6" s="664">
        <v>36894</v>
      </c>
      <c r="J6" s="664">
        <v>39204</v>
      </c>
      <c r="K6" s="665">
        <f>IF(J6-I6+1&gt;=2*365,2*365,J6-I6+1)</f>
        <v>730</v>
      </c>
      <c r="L6" s="666" t="s">
        <v>509</v>
      </c>
      <c r="M6" s="667">
        <f>2202-80.6-177.1-353.1-432.2-58.1</f>
        <v>1100.9000000000003</v>
      </c>
      <c r="N6" s="668">
        <f>E6-M6</f>
        <v>1101.0999999999997</v>
      </c>
      <c r="O6" s="824">
        <f>N6/(배점기준!$G$9/1000)</f>
        <v>0.73124940645340364</v>
      </c>
      <c r="P6" s="674">
        <f>(IF(N6&lt;231,0,IF(O6&gt;=2.5,3,IF(O6&gt;=2,2,IF(O6&gt;=1.5,1.5,IF(O6&gt;=1,1,IF(O6&gt;=0.5,0.5,0.25)))))))*K6/H6</f>
        <v>0.5</v>
      </c>
      <c r="Q6" s="670"/>
    </row>
    <row r="7" spans="1:17" ht="50.1" customHeight="1">
      <c r="A7" s="943" t="s">
        <v>4</v>
      </c>
      <c r="B7" s="944"/>
      <c r="C7" s="944"/>
      <c r="D7" s="944"/>
      <c r="E7" s="944"/>
      <c r="F7" s="944"/>
      <c r="G7" s="944"/>
      <c r="H7" s="944"/>
      <c r="I7" s="944"/>
      <c r="J7" s="944"/>
      <c r="K7" s="944"/>
      <c r="L7" s="944"/>
      <c r="M7" s="944"/>
      <c r="N7" s="945"/>
      <c r="O7" s="328"/>
      <c r="P7" s="353">
        <f>SUM(P6:P6)</f>
        <v>0.5</v>
      </c>
      <c r="Q7" s="349"/>
    </row>
    <row r="8" spans="1:17" ht="50.1" customHeight="1" thickBot="1">
      <c r="A8" s="964" t="s">
        <v>537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965"/>
      <c r="M8" s="965"/>
      <c r="N8" s="966"/>
      <c r="O8" s="329"/>
      <c r="P8" s="352">
        <f>P7</f>
        <v>0.5</v>
      </c>
      <c r="Q8" s="350"/>
    </row>
  </sheetData>
  <mergeCells count="15">
    <mergeCell ref="A7:N7"/>
    <mergeCell ref="A8:N8"/>
    <mergeCell ref="M4:M5"/>
    <mergeCell ref="N4:N5"/>
    <mergeCell ref="A4:A5"/>
    <mergeCell ref="B4:B5"/>
    <mergeCell ref="C4:C5"/>
    <mergeCell ref="D4:D5"/>
    <mergeCell ref="Q4:Q5"/>
    <mergeCell ref="P4:P5"/>
    <mergeCell ref="E4:E5"/>
    <mergeCell ref="F4:H4"/>
    <mergeCell ref="I4:K4"/>
    <mergeCell ref="L4:L5"/>
    <mergeCell ref="O4:O5"/>
  </mergeCells>
  <phoneticPr fontId="2" type="noConversion"/>
  <pageMargins left="0.75" right="0.75" top="1" bottom="1" header="0.5" footer="0.5"/>
  <pageSetup paperSize="9" scale="57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22" enableFormatConditionsCalculation="0">
    <tabColor indexed="43"/>
  </sheetPr>
  <dimension ref="A1:Q107"/>
  <sheetViews>
    <sheetView view="pageBreakPreview" topLeftCell="B1" zoomScale="85" zoomScaleNormal="55" zoomScaleSheetLayoutView="70" workbookViewId="0">
      <selection activeCell="D16" sqref="D16:F16"/>
    </sheetView>
  </sheetViews>
  <sheetFormatPr defaultRowHeight="15.95" customHeight="1"/>
  <cols>
    <col min="1" max="1" width="3" style="24" customWidth="1"/>
    <col min="2" max="2" width="17.77734375" style="24" customWidth="1"/>
    <col min="3" max="3" width="15.109375" style="24" customWidth="1"/>
    <col min="4" max="4" width="33.33203125" style="24" customWidth="1"/>
    <col min="5" max="5" width="27.88671875" style="24" customWidth="1"/>
    <col min="6" max="6" width="26.109375" style="24" customWidth="1"/>
    <col min="7" max="7" width="20.109375" style="24" customWidth="1"/>
    <col min="8" max="8" width="5.6640625" style="24" bestFit="1" customWidth="1"/>
    <col min="9" max="9" width="20.33203125" style="24" customWidth="1"/>
    <col min="10" max="10" width="17.33203125" style="24" customWidth="1"/>
    <col min="11" max="12" width="8" style="24" bestFit="1" customWidth="1"/>
    <col min="13" max="13" width="14" style="24" customWidth="1"/>
    <col min="14" max="14" width="8.109375" style="24" customWidth="1"/>
    <col min="15" max="15" width="12.77734375" style="24" customWidth="1"/>
    <col min="16" max="16" width="8.33203125" style="2" customWidth="1"/>
    <col min="17" max="17" width="7.88671875" style="18" customWidth="1"/>
    <col min="18" max="18" width="6.33203125" style="2" bestFit="1" customWidth="1"/>
    <col min="19" max="19" width="8.77734375" style="2" customWidth="1"/>
    <col min="20" max="20" width="6.33203125" style="2" bestFit="1" customWidth="1"/>
    <col min="21" max="21" width="8.5546875" style="2" customWidth="1"/>
    <col min="22" max="22" width="7.5546875" style="2" bestFit="1" customWidth="1"/>
    <col min="23" max="23" width="6" style="2" customWidth="1"/>
    <col min="24" max="24" width="9.44140625" style="2" customWidth="1"/>
    <col min="25" max="25" width="4" style="2" customWidth="1"/>
    <col min="26" max="26" width="7.77734375" style="2" customWidth="1"/>
    <col min="27" max="16384" width="8.88671875" style="2"/>
  </cols>
  <sheetData>
    <row r="1" spans="1:9" s="244" customFormat="1" ht="28.5" customHeight="1">
      <c r="A1" s="242"/>
      <c r="B1" s="113" t="s">
        <v>372</v>
      </c>
      <c r="C1" s="174"/>
      <c r="D1" s="174"/>
      <c r="E1" s="174"/>
      <c r="F1" s="174"/>
      <c r="H1" s="245"/>
    </row>
    <row r="2" spans="1:9" s="244" customFormat="1" ht="8.25" customHeight="1" thickBot="1">
      <c r="A2" s="242"/>
      <c r="B2" s="113"/>
      <c r="C2" s="174"/>
      <c r="D2" s="174"/>
      <c r="E2" s="174"/>
      <c r="F2" s="174"/>
      <c r="H2" s="245"/>
    </row>
    <row r="3" spans="1:9" s="247" customFormat="1" ht="33.75" customHeight="1">
      <c r="A3" s="246"/>
      <c r="B3" s="413" t="s">
        <v>373</v>
      </c>
      <c r="C3" s="414" t="s">
        <v>374</v>
      </c>
      <c r="D3" s="414" t="s">
        <v>375</v>
      </c>
      <c r="E3" s="414" t="s">
        <v>376</v>
      </c>
      <c r="F3" s="414" t="s">
        <v>377</v>
      </c>
      <c r="G3" s="415" t="s">
        <v>378</v>
      </c>
      <c r="I3" s="248"/>
    </row>
    <row r="4" spans="1:9" s="247" customFormat="1" ht="33.75" customHeight="1">
      <c r="A4" s="246"/>
      <c r="B4" s="996" t="s">
        <v>772</v>
      </c>
      <c r="C4" s="997"/>
      <c r="D4" s="997"/>
      <c r="E4" s="997"/>
      <c r="F4" s="997"/>
      <c r="G4" s="998"/>
      <c r="I4" s="248"/>
    </row>
    <row r="5" spans="1:9" s="247" customFormat="1" ht="33.75" customHeight="1">
      <c r="A5" s="246"/>
      <c r="B5" s="416" t="s">
        <v>764</v>
      </c>
      <c r="C5" s="514" t="s">
        <v>810</v>
      </c>
      <c r="D5" s="514"/>
      <c r="E5" s="536"/>
      <c r="F5" s="536"/>
      <c r="G5" s="515"/>
      <c r="I5" s="248"/>
    </row>
    <row r="6" spans="1:9" s="247" customFormat="1" ht="33.75" customHeight="1">
      <c r="A6" s="246"/>
      <c r="B6" s="416" t="s">
        <v>795</v>
      </c>
      <c r="C6" s="514" t="s">
        <v>810</v>
      </c>
      <c r="D6" s="514"/>
      <c r="E6" s="536"/>
      <c r="F6" s="536"/>
      <c r="G6" s="515"/>
      <c r="I6" s="248"/>
    </row>
    <row r="7" spans="1:9" s="247" customFormat="1" ht="33.75" customHeight="1">
      <c r="A7" s="246"/>
      <c r="B7" s="416" t="s">
        <v>796</v>
      </c>
      <c r="C7" s="514" t="s">
        <v>810</v>
      </c>
      <c r="D7" s="514"/>
      <c r="E7" s="536"/>
      <c r="F7" s="536"/>
      <c r="G7" s="515"/>
      <c r="I7" s="248"/>
    </row>
    <row r="8" spans="1:9" s="247" customFormat="1" ht="33.75" customHeight="1">
      <c r="A8" s="246"/>
      <c r="B8" s="416" t="s">
        <v>761</v>
      </c>
      <c r="C8" s="514" t="s">
        <v>810</v>
      </c>
      <c r="D8" s="514"/>
      <c r="E8" s="536"/>
      <c r="F8" s="536"/>
      <c r="G8" s="515"/>
      <c r="I8" s="248"/>
    </row>
    <row r="9" spans="1:9" s="247" customFormat="1" ht="33.75" customHeight="1">
      <c r="A9" s="246"/>
      <c r="B9" s="416" t="s">
        <v>765</v>
      </c>
      <c r="C9" s="514" t="s">
        <v>810</v>
      </c>
      <c r="D9" s="514"/>
      <c r="E9" s="536"/>
      <c r="F9" s="536"/>
      <c r="G9" s="515"/>
      <c r="I9" s="248"/>
    </row>
    <row r="10" spans="1:9" s="247" customFormat="1" ht="33.75" customHeight="1">
      <c r="A10" s="246"/>
      <c r="B10" s="416" t="s">
        <v>763</v>
      </c>
      <c r="C10" s="514" t="s">
        <v>810</v>
      </c>
      <c r="D10" s="514"/>
      <c r="E10" s="536"/>
      <c r="F10" s="536"/>
      <c r="G10" s="515"/>
      <c r="I10" s="248"/>
    </row>
    <row r="11" spans="1:9" s="247" customFormat="1" ht="33.75" customHeight="1">
      <c r="A11" s="246"/>
      <c r="B11" s="417" t="s">
        <v>766</v>
      </c>
      <c r="C11" s="514" t="s">
        <v>810</v>
      </c>
      <c r="D11" s="514"/>
      <c r="E11" s="536"/>
      <c r="F11" s="536"/>
      <c r="G11" s="515"/>
      <c r="I11" s="248"/>
    </row>
    <row r="12" spans="1:9" s="247" customFormat="1" ht="33.75" customHeight="1">
      <c r="A12" s="246"/>
      <c r="B12" s="416" t="s">
        <v>768</v>
      </c>
      <c r="C12" s="514" t="s">
        <v>810</v>
      </c>
      <c r="D12" s="514"/>
      <c r="E12" s="536"/>
      <c r="F12" s="536"/>
      <c r="G12" s="515"/>
      <c r="I12" s="248"/>
    </row>
    <row r="13" spans="1:9" s="247" customFormat="1" ht="33.75" customHeight="1">
      <c r="A13" s="246"/>
      <c r="B13" s="582" t="s">
        <v>797</v>
      </c>
      <c r="C13" s="514" t="s">
        <v>810</v>
      </c>
      <c r="D13" s="514"/>
      <c r="E13" s="536"/>
      <c r="F13" s="536"/>
      <c r="G13" s="583"/>
      <c r="I13" s="248"/>
    </row>
    <row r="14" spans="1:9" s="247" customFormat="1" ht="33.75" customHeight="1">
      <c r="A14" s="246"/>
      <c r="B14" s="416" t="s">
        <v>769</v>
      </c>
      <c r="C14" s="514" t="s">
        <v>810</v>
      </c>
      <c r="D14" s="514"/>
      <c r="E14" s="536"/>
      <c r="F14" s="536"/>
      <c r="G14" s="515"/>
      <c r="I14" s="248"/>
    </row>
    <row r="15" spans="1:9" s="247" customFormat="1" ht="33.75" customHeight="1">
      <c r="A15" s="246"/>
      <c r="B15" s="416" t="s">
        <v>767</v>
      </c>
      <c r="C15" s="514" t="s">
        <v>810</v>
      </c>
      <c r="D15" s="514"/>
      <c r="E15" s="536"/>
      <c r="F15" s="536"/>
      <c r="G15" s="515"/>
      <c r="I15" s="248"/>
    </row>
    <row r="16" spans="1:9" s="244" customFormat="1" ht="33.75" customHeight="1" thickBot="1">
      <c r="A16" s="242"/>
      <c r="B16" s="418" t="s">
        <v>290</v>
      </c>
      <c r="C16" s="622"/>
      <c r="D16" s="995" t="s">
        <v>770</v>
      </c>
      <c r="E16" s="995"/>
      <c r="F16" s="995"/>
      <c r="G16" s="602">
        <v>1</v>
      </c>
      <c r="I16" s="245"/>
    </row>
    <row r="17" spans="1:16" s="244" customFormat="1" ht="10.5">
      <c r="A17" s="243"/>
      <c r="B17" s="243"/>
      <c r="C17" s="243"/>
      <c r="D17" s="243"/>
      <c r="E17" s="243"/>
      <c r="F17" s="243"/>
      <c r="H17" s="245"/>
    </row>
    <row r="18" spans="1:16" s="244" customFormat="1" ht="15.95" customHeight="1">
      <c r="A18" s="243"/>
      <c r="B18" s="243"/>
      <c r="C18" s="243"/>
      <c r="D18" s="243"/>
      <c r="E18" s="243"/>
      <c r="F18" s="243"/>
      <c r="H18" s="245"/>
      <c r="P18" s="569" t="e">
        <f>기술투자!#REF!</f>
        <v>#REF!</v>
      </c>
    </row>
    <row r="19" spans="1:16" s="244" customFormat="1" ht="15.95" customHeight="1">
      <c r="A19" s="243"/>
      <c r="B19" s="243"/>
      <c r="C19" s="243"/>
      <c r="D19" s="243"/>
      <c r="E19" s="243"/>
      <c r="F19" s="243"/>
      <c r="H19" s="245"/>
    </row>
    <row r="20" spans="1:16" s="244" customFormat="1" ht="15.95" customHeight="1">
      <c r="A20" s="243"/>
      <c r="B20" s="243"/>
      <c r="C20" s="243"/>
      <c r="D20" s="243"/>
      <c r="E20" s="243"/>
      <c r="F20" s="243"/>
      <c r="H20" s="245"/>
    </row>
    <row r="21" spans="1:16" s="244" customFormat="1" ht="15.95" customHeight="1">
      <c r="A21" s="243"/>
      <c r="B21" s="243"/>
      <c r="C21" s="243"/>
      <c r="D21" s="243"/>
      <c r="E21" s="243"/>
      <c r="F21" s="243"/>
      <c r="H21" s="245"/>
    </row>
    <row r="22" spans="1:16" s="244" customFormat="1" ht="15.95" customHeight="1">
      <c r="A22" s="243"/>
      <c r="B22" s="243"/>
      <c r="C22" s="243"/>
      <c r="D22" s="243"/>
      <c r="E22" s="243"/>
      <c r="F22" s="243"/>
      <c r="H22" s="245"/>
    </row>
    <row r="23" spans="1:16" s="244" customFormat="1" ht="15.95" customHeight="1">
      <c r="A23" s="243"/>
      <c r="B23" s="243"/>
      <c r="C23" s="243"/>
      <c r="D23" s="243"/>
      <c r="E23" s="243"/>
      <c r="F23" s="243"/>
      <c r="H23" s="245"/>
    </row>
    <row r="24" spans="1:16" s="244" customFormat="1" ht="10.5">
      <c r="A24" s="243"/>
      <c r="B24" s="243"/>
      <c r="C24" s="243"/>
      <c r="D24" s="243"/>
      <c r="E24" s="243"/>
      <c r="F24" s="243"/>
      <c r="H24" s="245"/>
    </row>
    <row r="25" spans="1:16" s="244" customFormat="1" ht="15.95" customHeight="1">
      <c r="A25" s="243"/>
      <c r="B25" s="243"/>
      <c r="C25" s="243"/>
      <c r="D25" s="243"/>
      <c r="E25" s="243"/>
      <c r="F25" s="243"/>
      <c r="H25" s="245"/>
    </row>
    <row r="26" spans="1:16" s="244" customFormat="1" ht="15.95" customHeight="1">
      <c r="A26" s="243"/>
      <c r="B26" s="243"/>
      <c r="C26" s="243"/>
      <c r="D26" s="243"/>
      <c r="E26" s="243"/>
      <c r="F26" s="243"/>
      <c r="H26" s="245"/>
    </row>
    <row r="27" spans="1:16" s="244" customFormat="1" ht="15.95" customHeight="1">
      <c r="A27" s="243"/>
      <c r="B27" s="243"/>
      <c r="C27" s="243"/>
      <c r="D27" s="243"/>
      <c r="E27" s="243"/>
      <c r="F27" s="243"/>
      <c r="H27" s="245"/>
    </row>
    <row r="28" spans="1:16" s="244" customFormat="1" ht="15.95" customHeight="1">
      <c r="A28" s="243"/>
      <c r="B28" s="243"/>
      <c r="C28" s="243"/>
      <c r="D28" s="243"/>
      <c r="E28" s="243"/>
      <c r="F28" s="243"/>
      <c r="H28" s="245"/>
    </row>
    <row r="29" spans="1:16" s="244" customFormat="1" ht="15.95" customHeight="1">
      <c r="A29" s="243"/>
      <c r="B29" s="243"/>
      <c r="C29" s="243"/>
      <c r="D29" s="243"/>
      <c r="E29" s="243"/>
      <c r="F29" s="243"/>
      <c r="H29" s="245"/>
    </row>
    <row r="30" spans="1:16" s="244" customFormat="1" ht="15.95" customHeight="1">
      <c r="A30" s="243"/>
      <c r="B30" s="243"/>
      <c r="C30" s="243"/>
      <c r="D30" s="243"/>
      <c r="E30" s="243"/>
      <c r="F30" s="243"/>
      <c r="H30" s="245"/>
    </row>
    <row r="31" spans="1:16" s="244" customFormat="1" ht="15.95" customHeight="1">
      <c r="A31" s="243"/>
      <c r="B31" s="243"/>
      <c r="C31" s="243"/>
      <c r="D31" s="243"/>
      <c r="E31" s="243"/>
      <c r="F31" s="243"/>
      <c r="H31" s="245"/>
    </row>
    <row r="32" spans="1:16" s="244" customFormat="1" ht="10.5">
      <c r="A32" s="243"/>
      <c r="B32" s="243"/>
      <c r="C32" s="243"/>
      <c r="D32" s="243"/>
      <c r="E32" s="243"/>
      <c r="F32" s="243"/>
      <c r="H32" s="245"/>
    </row>
    <row r="33" spans="1:17" s="244" customFormat="1" ht="15.95" customHeight="1">
      <c r="A33" s="243"/>
      <c r="B33" s="243"/>
      <c r="C33" s="243"/>
      <c r="D33" s="243"/>
      <c r="E33" s="243"/>
      <c r="F33" s="243"/>
      <c r="H33" s="245"/>
    </row>
    <row r="34" spans="1:17" s="244" customFormat="1" ht="15.95" customHeight="1">
      <c r="A34" s="243"/>
      <c r="B34" s="243"/>
      <c r="C34" s="243"/>
      <c r="D34" s="243"/>
      <c r="E34" s="243"/>
      <c r="F34" s="243"/>
      <c r="H34" s="245"/>
    </row>
    <row r="35" spans="1:17" s="244" customFormat="1" ht="15.95" customHeight="1">
      <c r="A35" s="243"/>
      <c r="B35" s="243"/>
      <c r="C35" s="243"/>
      <c r="D35" s="243"/>
      <c r="E35" s="243"/>
      <c r="F35" s="243"/>
      <c r="H35" s="245"/>
    </row>
    <row r="36" spans="1:17" s="244" customFormat="1" ht="15.95" customHeight="1">
      <c r="A36" s="243"/>
      <c r="B36" s="243"/>
      <c r="C36" s="243"/>
      <c r="D36" s="243"/>
      <c r="E36" s="243"/>
      <c r="F36" s="243"/>
      <c r="H36" s="245"/>
    </row>
    <row r="37" spans="1:17" s="244" customFormat="1" ht="15.95" customHeight="1">
      <c r="A37" s="243"/>
      <c r="B37" s="243"/>
      <c r="C37" s="243"/>
      <c r="D37" s="243"/>
      <c r="E37" s="243"/>
      <c r="F37" s="243"/>
      <c r="H37" s="245"/>
    </row>
    <row r="38" spans="1:17" s="244" customFormat="1" ht="15.95" customHeight="1">
      <c r="A38" s="243"/>
      <c r="B38" s="243"/>
      <c r="C38" s="243"/>
      <c r="D38" s="243"/>
      <c r="E38" s="243"/>
      <c r="F38" s="243"/>
      <c r="H38" s="245"/>
    </row>
    <row r="39" spans="1:17" s="244" customFormat="1" ht="15.95" customHeight="1">
      <c r="A39" s="243"/>
      <c r="B39" s="243"/>
      <c r="C39" s="243"/>
      <c r="D39" s="243"/>
      <c r="E39" s="243"/>
      <c r="F39" s="243"/>
      <c r="G39" s="243"/>
      <c r="H39" s="243"/>
      <c r="I39" s="243"/>
      <c r="J39" s="243"/>
      <c r="K39" s="243"/>
      <c r="L39" s="243"/>
      <c r="M39" s="243"/>
      <c r="N39" s="243"/>
      <c r="O39" s="243"/>
      <c r="Q39" s="245"/>
    </row>
    <row r="40" spans="1:17" s="244" customFormat="1" ht="15.95" customHeight="1">
      <c r="A40" s="243"/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  <c r="O40" s="243"/>
      <c r="Q40" s="245"/>
    </row>
    <row r="41" spans="1:17" s="244" customFormat="1" ht="15.95" customHeight="1">
      <c r="A41" s="243"/>
      <c r="B41" s="243"/>
      <c r="C41" s="243"/>
      <c r="D41" s="243"/>
      <c r="E41" s="243"/>
      <c r="F41" s="243"/>
      <c r="G41" s="243"/>
      <c r="H41" s="243"/>
      <c r="I41" s="243"/>
      <c r="J41" s="243"/>
      <c r="K41" s="243"/>
      <c r="L41" s="243"/>
      <c r="M41" s="243"/>
      <c r="N41" s="243"/>
      <c r="O41" s="243"/>
      <c r="Q41" s="245"/>
    </row>
    <row r="42" spans="1:17" s="244" customFormat="1" ht="15.95" customHeight="1">
      <c r="A42" s="243"/>
      <c r="B42" s="243"/>
      <c r="C42" s="243"/>
      <c r="D42" s="243"/>
      <c r="E42" s="243"/>
      <c r="F42" s="243"/>
      <c r="G42" s="243"/>
      <c r="H42" s="243"/>
      <c r="I42" s="243"/>
      <c r="J42" s="243"/>
      <c r="K42" s="243"/>
      <c r="L42" s="243"/>
      <c r="M42" s="243"/>
      <c r="N42" s="243"/>
      <c r="O42" s="243"/>
      <c r="Q42" s="245"/>
    </row>
    <row r="43" spans="1:17" s="244" customFormat="1" ht="15.95" customHeight="1">
      <c r="A43" s="243"/>
      <c r="B43" s="243"/>
      <c r="C43" s="243"/>
      <c r="D43" s="243"/>
      <c r="E43" s="243"/>
      <c r="F43" s="243"/>
      <c r="G43" s="243"/>
      <c r="H43" s="243"/>
      <c r="I43" s="243"/>
      <c r="J43" s="243"/>
      <c r="K43" s="243"/>
      <c r="L43" s="243"/>
      <c r="M43" s="243"/>
      <c r="N43" s="243"/>
      <c r="O43" s="243"/>
      <c r="Q43" s="245"/>
    </row>
    <row r="44" spans="1:17" s="244" customFormat="1" ht="15.95" customHeight="1">
      <c r="A44" s="243"/>
      <c r="B44" s="243"/>
      <c r="C44" s="243"/>
      <c r="D44" s="243"/>
      <c r="E44" s="243"/>
      <c r="F44" s="243"/>
      <c r="G44" s="243"/>
      <c r="H44" s="243"/>
      <c r="I44" s="243"/>
      <c r="J44" s="243"/>
      <c r="K44" s="243"/>
      <c r="L44" s="243"/>
      <c r="M44" s="243"/>
      <c r="N44" s="243"/>
      <c r="O44" s="243"/>
      <c r="Q44" s="245"/>
    </row>
    <row r="45" spans="1:17" s="244" customFormat="1" ht="15.95" customHeight="1">
      <c r="A45" s="243"/>
      <c r="B45" s="243"/>
      <c r="C45" s="243"/>
      <c r="D45" s="243"/>
      <c r="E45" s="243"/>
      <c r="F45" s="243"/>
      <c r="G45" s="243"/>
      <c r="H45" s="243"/>
      <c r="I45" s="243"/>
      <c r="J45" s="243"/>
      <c r="K45" s="243"/>
      <c r="L45" s="243"/>
      <c r="M45" s="243"/>
      <c r="N45" s="243"/>
      <c r="O45" s="243"/>
      <c r="Q45" s="245"/>
    </row>
    <row r="46" spans="1:17" s="244" customFormat="1" ht="15.95" customHeight="1">
      <c r="A46" s="243"/>
      <c r="B46" s="243"/>
      <c r="C46" s="243"/>
      <c r="D46" s="243"/>
      <c r="E46" s="243"/>
      <c r="F46" s="243"/>
      <c r="G46" s="243"/>
      <c r="H46" s="243"/>
      <c r="I46" s="243"/>
      <c r="J46" s="243"/>
      <c r="K46" s="243"/>
      <c r="L46" s="243"/>
      <c r="M46" s="243"/>
      <c r="N46" s="243"/>
      <c r="O46" s="243"/>
      <c r="Q46" s="245"/>
    </row>
    <row r="47" spans="1:17" s="244" customFormat="1" ht="15.95" customHeight="1">
      <c r="A47" s="243"/>
      <c r="B47" s="243"/>
      <c r="C47" s="243"/>
      <c r="D47" s="243"/>
      <c r="E47" s="243"/>
      <c r="F47" s="243"/>
      <c r="G47" s="243"/>
      <c r="H47" s="243"/>
      <c r="I47" s="243"/>
      <c r="J47" s="243"/>
      <c r="K47" s="243"/>
      <c r="L47" s="243"/>
      <c r="M47" s="243"/>
      <c r="N47" s="243"/>
      <c r="O47" s="243"/>
      <c r="Q47" s="245"/>
    </row>
    <row r="48" spans="1:17" s="244" customFormat="1" ht="15.95" customHeight="1">
      <c r="A48" s="243"/>
      <c r="B48" s="243"/>
      <c r="C48" s="243"/>
      <c r="D48" s="243"/>
      <c r="E48" s="243"/>
      <c r="F48" s="243"/>
      <c r="G48" s="243"/>
      <c r="H48" s="243"/>
      <c r="I48" s="243"/>
      <c r="J48" s="243"/>
      <c r="K48" s="243"/>
      <c r="L48" s="243"/>
      <c r="M48" s="243"/>
      <c r="N48" s="243"/>
      <c r="O48" s="243"/>
      <c r="Q48" s="245"/>
    </row>
    <row r="49" spans="1:17" s="244" customFormat="1" ht="15.95" customHeight="1">
      <c r="A49" s="243"/>
      <c r="B49" s="243"/>
      <c r="C49" s="243"/>
      <c r="D49" s="243"/>
      <c r="E49" s="243"/>
      <c r="F49" s="243"/>
      <c r="G49" s="243"/>
      <c r="H49" s="243"/>
      <c r="I49" s="243"/>
      <c r="J49" s="243"/>
      <c r="K49" s="243"/>
      <c r="L49" s="243"/>
      <c r="M49" s="243"/>
      <c r="N49" s="243"/>
      <c r="O49" s="243"/>
      <c r="Q49" s="245"/>
    </row>
    <row r="50" spans="1:17" s="244" customFormat="1" ht="15.95" customHeight="1">
      <c r="A50" s="243"/>
      <c r="B50" s="243"/>
      <c r="C50" s="243"/>
      <c r="D50" s="243"/>
      <c r="E50" s="243"/>
      <c r="F50" s="243"/>
      <c r="G50" s="243"/>
      <c r="H50" s="243"/>
      <c r="I50" s="243"/>
      <c r="J50" s="243"/>
      <c r="K50" s="243"/>
      <c r="L50" s="243"/>
      <c r="M50" s="243"/>
      <c r="N50" s="243"/>
      <c r="O50" s="243"/>
      <c r="Q50" s="245"/>
    </row>
    <row r="51" spans="1:17" s="244" customFormat="1" ht="15.95" customHeight="1">
      <c r="A51" s="243"/>
      <c r="B51" s="243"/>
      <c r="C51" s="243"/>
      <c r="D51" s="243"/>
      <c r="E51" s="243"/>
      <c r="F51" s="243"/>
      <c r="G51" s="243"/>
      <c r="H51" s="243"/>
      <c r="I51" s="243"/>
      <c r="J51" s="243"/>
      <c r="K51" s="243"/>
      <c r="L51" s="243"/>
      <c r="M51" s="243"/>
      <c r="N51" s="243"/>
      <c r="O51" s="243"/>
      <c r="Q51" s="245"/>
    </row>
    <row r="52" spans="1:17" s="244" customFormat="1" ht="15.95" customHeight="1">
      <c r="A52" s="243"/>
      <c r="B52" s="243"/>
      <c r="C52" s="243"/>
      <c r="D52" s="243"/>
      <c r="E52" s="243"/>
      <c r="F52" s="243"/>
      <c r="G52" s="243"/>
      <c r="H52" s="243"/>
      <c r="I52" s="243"/>
      <c r="J52" s="243"/>
      <c r="K52" s="243"/>
      <c r="L52" s="243"/>
      <c r="M52" s="243"/>
      <c r="N52" s="243"/>
      <c r="O52" s="243"/>
      <c r="Q52" s="245"/>
    </row>
    <row r="53" spans="1:17" s="244" customFormat="1" ht="15.95" customHeight="1">
      <c r="A53" s="243"/>
      <c r="B53" s="243"/>
      <c r="C53" s="243"/>
      <c r="D53" s="243"/>
      <c r="E53" s="243"/>
      <c r="F53" s="243"/>
      <c r="G53" s="243"/>
      <c r="H53" s="243"/>
      <c r="I53" s="243"/>
      <c r="J53" s="243"/>
      <c r="K53" s="243"/>
      <c r="L53" s="243"/>
      <c r="M53" s="243"/>
      <c r="N53" s="243"/>
      <c r="O53" s="243"/>
      <c r="Q53" s="245"/>
    </row>
    <row r="54" spans="1:17" s="244" customFormat="1" ht="15.95" customHeight="1">
      <c r="A54" s="243"/>
      <c r="B54" s="243"/>
      <c r="C54" s="243"/>
      <c r="D54" s="243"/>
      <c r="E54" s="243"/>
      <c r="F54" s="243"/>
      <c r="G54" s="243"/>
      <c r="H54" s="243"/>
      <c r="I54" s="243"/>
      <c r="J54" s="243"/>
      <c r="K54" s="243"/>
      <c r="L54" s="243"/>
      <c r="M54" s="243"/>
      <c r="N54" s="243"/>
      <c r="O54" s="243"/>
      <c r="Q54" s="245"/>
    </row>
    <row r="55" spans="1:17" s="244" customFormat="1" ht="15.95" customHeight="1">
      <c r="A55" s="243"/>
      <c r="B55" s="243"/>
      <c r="C55" s="243"/>
      <c r="D55" s="243"/>
      <c r="E55" s="243"/>
      <c r="F55" s="243"/>
      <c r="G55" s="243"/>
      <c r="H55" s="243"/>
      <c r="I55" s="243"/>
      <c r="J55" s="243"/>
      <c r="K55" s="243"/>
      <c r="L55" s="243"/>
      <c r="M55" s="243"/>
      <c r="N55" s="243"/>
      <c r="O55" s="243"/>
      <c r="Q55" s="245"/>
    </row>
    <row r="56" spans="1:17" s="244" customFormat="1" ht="15.95" customHeight="1">
      <c r="A56" s="243"/>
      <c r="B56" s="243"/>
      <c r="C56" s="243"/>
      <c r="D56" s="243"/>
      <c r="E56" s="243"/>
      <c r="F56" s="243"/>
      <c r="G56" s="243"/>
      <c r="H56" s="243"/>
      <c r="I56" s="243"/>
      <c r="J56" s="243"/>
      <c r="K56" s="243"/>
      <c r="L56" s="243"/>
      <c r="M56" s="243"/>
      <c r="N56" s="243"/>
      <c r="O56" s="243"/>
      <c r="Q56" s="245"/>
    </row>
    <row r="57" spans="1:17" s="244" customFormat="1" ht="15.95" customHeight="1">
      <c r="A57" s="243"/>
      <c r="B57" s="243"/>
      <c r="C57" s="243"/>
      <c r="D57" s="243"/>
      <c r="E57" s="243"/>
      <c r="F57" s="243"/>
      <c r="G57" s="243"/>
      <c r="H57" s="243"/>
      <c r="I57" s="243"/>
      <c r="J57" s="243"/>
      <c r="K57" s="243"/>
      <c r="L57" s="243"/>
      <c r="M57" s="243"/>
      <c r="N57" s="243"/>
      <c r="O57" s="243"/>
      <c r="Q57" s="245"/>
    </row>
    <row r="58" spans="1:17" s="244" customFormat="1" ht="15.95" customHeight="1">
      <c r="A58" s="243"/>
      <c r="B58" s="243"/>
      <c r="C58" s="243"/>
      <c r="D58" s="243"/>
      <c r="E58" s="243"/>
      <c r="F58" s="243"/>
      <c r="G58" s="243"/>
      <c r="H58" s="243"/>
      <c r="I58" s="243"/>
      <c r="J58" s="243"/>
      <c r="K58" s="243"/>
      <c r="L58" s="243"/>
      <c r="M58" s="243"/>
      <c r="N58" s="243"/>
      <c r="O58" s="243"/>
      <c r="Q58" s="245"/>
    </row>
    <row r="59" spans="1:17" s="244" customFormat="1" ht="15.95" customHeight="1">
      <c r="A59" s="243"/>
      <c r="B59" s="243"/>
      <c r="C59" s="243"/>
      <c r="D59" s="243"/>
      <c r="E59" s="243"/>
      <c r="F59" s="243"/>
      <c r="G59" s="243"/>
      <c r="H59" s="243"/>
      <c r="I59" s="243"/>
      <c r="J59" s="243"/>
      <c r="K59" s="243"/>
      <c r="L59" s="243"/>
      <c r="M59" s="243"/>
      <c r="N59" s="243"/>
      <c r="O59" s="243"/>
      <c r="Q59" s="245"/>
    </row>
    <row r="60" spans="1:17" s="244" customFormat="1" ht="15.95" customHeight="1">
      <c r="A60" s="243"/>
      <c r="B60" s="243"/>
      <c r="C60" s="243"/>
      <c r="D60" s="243"/>
      <c r="E60" s="243"/>
      <c r="F60" s="243"/>
      <c r="G60" s="243"/>
      <c r="H60" s="243"/>
      <c r="I60" s="243"/>
      <c r="J60" s="243"/>
      <c r="K60" s="243"/>
      <c r="L60" s="243"/>
      <c r="M60" s="243"/>
      <c r="N60" s="243"/>
      <c r="O60" s="243"/>
      <c r="Q60" s="245"/>
    </row>
    <row r="61" spans="1:17" s="244" customFormat="1" ht="15.95" customHeight="1">
      <c r="A61" s="243"/>
      <c r="B61" s="243"/>
      <c r="C61" s="243"/>
      <c r="D61" s="243"/>
      <c r="E61" s="243"/>
      <c r="F61" s="243"/>
      <c r="G61" s="243"/>
      <c r="H61" s="243"/>
      <c r="I61" s="243"/>
      <c r="J61" s="243"/>
      <c r="K61" s="243"/>
      <c r="L61" s="243"/>
      <c r="M61" s="243"/>
      <c r="N61" s="243"/>
      <c r="O61" s="243"/>
      <c r="Q61" s="245"/>
    </row>
    <row r="62" spans="1:17" s="244" customFormat="1" ht="15.95" customHeight="1">
      <c r="A62" s="243"/>
      <c r="B62" s="243"/>
      <c r="C62" s="243"/>
      <c r="D62" s="243"/>
      <c r="E62" s="243"/>
      <c r="F62" s="243"/>
      <c r="G62" s="243"/>
      <c r="H62" s="243"/>
      <c r="I62" s="243"/>
      <c r="J62" s="243"/>
      <c r="K62" s="243"/>
      <c r="L62" s="243"/>
      <c r="M62" s="243"/>
      <c r="N62" s="243"/>
      <c r="O62" s="243"/>
      <c r="Q62" s="245"/>
    </row>
    <row r="63" spans="1:17" s="244" customFormat="1" ht="15.95" customHeight="1">
      <c r="A63" s="243"/>
      <c r="B63" s="243"/>
      <c r="C63" s="243"/>
      <c r="D63" s="243"/>
      <c r="E63" s="243"/>
      <c r="F63" s="243"/>
      <c r="G63" s="243"/>
      <c r="H63" s="243"/>
      <c r="I63" s="243"/>
      <c r="J63" s="243"/>
      <c r="K63" s="243"/>
      <c r="L63" s="243"/>
      <c r="M63" s="243"/>
      <c r="N63" s="243"/>
      <c r="O63" s="243"/>
      <c r="Q63" s="245"/>
    </row>
    <row r="64" spans="1:17" s="244" customFormat="1" ht="15.95" customHeight="1">
      <c r="A64" s="243"/>
      <c r="B64" s="243"/>
      <c r="C64" s="243"/>
      <c r="D64" s="243"/>
      <c r="E64" s="243"/>
      <c r="F64" s="243"/>
      <c r="G64" s="243"/>
      <c r="H64" s="243"/>
      <c r="I64" s="243"/>
      <c r="J64" s="243"/>
      <c r="K64" s="243"/>
      <c r="L64" s="243"/>
      <c r="M64" s="243"/>
      <c r="N64" s="243"/>
      <c r="O64" s="243"/>
      <c r="Q64" s="245"/>
    </row>
    <row r="65" spans="1:17" s="244" customFormat="1" ht="15.95" customHeight="1">
      <c r="A65" s="243"/>
      <c r="B65" s="243"/>
      <c r="C65" s="243"/>
      <c r="D65" s="243"/>
      <c r="E65" s="243"/>
      <c r="F65" s="243"/>
      <c r="G65" s="243"/>
      <c r="H65" s="243"/>
      <c r="I65" s="243"/>
      <c r="J65" s="243"/>
      <c r="K65" s="243"/>
      <c r="L65" s="243"/>
      <c r="M65" s="243"/>
      <c r="N65" s="243"/>
      <c r="O65" s="243"/>
      <c r="Q65" s="245"/>
    </row>
    <row r="66" spans="1:17" s="244" customFormat="1" ht="15.95" customHeight="1">
      <c r="A66" s="243"/>
      <c r="B66" s="243"/>
      <c r="C66" s="243"/>
      <c r="D66" s="243"/>
      <c r="E66" s="243"/>
      <c r="F66" s="243"/>
      <c r="G66" s="243"/>
      <c r="H66" s="243"/>
      <c r="I66" s="243"/>
      <c r="J66" s="243"/>
      <c r="K66" s="243"/>
      <c r="L66" s="243"/>
      <c r="M66" s="243"/>
      <c r="N66" s="243"/>
      <c r="O66" s="243"/>
      <c r="Q66" s="245"/>
    </row>
    <row r="67" spans="1:17" s="244" customFormat="1" ht="15.95" customHeight="1">
      <c r="A67" s="243"/>
      <c r="B67" s="243"/>
      <c r="C67" s="243"/>
      <c r="D67" s="243"/>
      <c r="E67" s="243"/>
      <c r="F67" s="243"/>
      <c r="G67" s="243"/>
      <c r="H67" s="243"/>
      <c r="I67" s="243"/>
      <c r="J67" s="243"/>
      <c r="K67" s="243"/>
      <c r="L67" s="243"/>
      <c r="M67" s="243"/>
      <c r="N67" s="243"/>
      <c r="O67" s="243"/>
      <c r="Q67" s="245"/>
    </row>
    <row r="68" spans="1:17" s="244" customFormat="1" ht="15.95" customHeight="1">
      <c r="A68" s="243"/>
      <c r="B68" s="243"/>
      <c r="C68" s="243"/>
      <c r="D68" s="243"/>
      <c r="E68" s="243"/>
      <c r="F68" s="243"/>
      <c r="G68" s="243"/>
      <c r="H68" s="243"/>
      <c r="I68" s="243"/>
      <c r="J68" s="243"/>
      <c r="K68" s="243"/>
      <c r="L68" s="243"/>
      <c r="M68" s="243"/>
      <c r="N68" s="243"/>
      <c r="O68" s="243"/>
      <c r="Q68" s="245"/>
    </row>
    <row r="69" spans="1:17" s="244" customFormat="1" ht="15.95" customHeight="1">
      <c r="A69" s="243"/>
      <c r="B69" s="243"/>
      <c r="C69" s="243"/>
      <c r="D69" s="243"/>
      <c r="E69" s="243"/>
      <c r="F69" s="243"/>
      <c r="G69" s="243"/>
      <c r="H69" s="243"/>
      <c r="I69" s="243"/>
      <c r="J69" s="243"/>
      <c r="K69" s="243"/>
      <c r="L69" s="243"/>
      <c r="M69" s="243"/>
      <c r="N69" s="243"/>
      <c r="O69" s="243"/>
      <c r="Q69" s="245"/>
    </row>
    <row r="70" spans="1:17" s="244" customFormat="1" ht="15.95" customHeight="1">
      <c r="A70" s="243"/>
      <c r="B70" s="243"/>
      <c r="C70" s="243"/>
      <c r="D70" s="243"/>
      <c r="E70" s="243"/>
      <c r="F70" s="243"/>
      <c r="G70" s="243"/>
      <c r="H70" s="243"/>
      <c r="I70" s="243"/>
      <c r="J70" s="243"/>
      <c r="K70" s="243"/>
      <c r="L70" s="243"/>
      <c r="M70" s="243"/>
      <c r="N70" s="243"/>
      <c r="O70" s="243"/>
      <c r="Q70" s="245"/>
    </row>
    <row r="71" spans="1:17" s="244" customFormat="1" ht="15.95" customHeight="1">
      <c r="A71" s="243"/>
      <c r="B71" s="243"/>
      <c r="C71" s="243"/>
      <c r="D71" s="243"/>
      <c r="E71" s="243"/>
      <c r="F71" s="243"/>
      <c r="G71" s="243"/>
      <c r="H71" s="243"/>
      <c r="I71" s="243"/>
      <c r="J71" s="243"/>
      <c r="K71" s="243"/>
      <c r="L71" s="243"/>
      <c r="M71" s="243"/>
      <c r="N71" s="243"/>
      <c r="O71" s="243"/>
      <c r="Q71" s="245"/>
    </row>
    <row r="72" spans="1:17" s="244" customFormat="1" ht="15.95" customHeight="1">
      <c r="A72" s="243"/>
      <c r="B72" s="243"/>
      <c r="C72" s="243"/>
      <c r="D72" s="243"/>
      <c r="E72" s="243"/>
      <c r="F72" s="243"/>
      <c r="G72" s="243"/>
      <c r="H72" s="243"/>
      <c r="I72" s="243"/>
      <c r="J72" s="243"/>
      <c r="K72" s="243"/>
      <c r="L72" s="243"/>
      <c r="M72" s="243"/>
      <c r="N72" s="243"/>
      <c r="O72" s="243"/>
      <c r="Q72" s="245"/>
    </row>
    <row r="73" spans="1:17" s="244" customFormat="1" ht="15.95" customHeight="1">
      <c r="A73" s="243"/>
      <c r="B73" s="243"/>
      <c r="C73" s="243"/>
      <c r="D73" s="243"/>
      <c r="E73" s="243"/>
      <c r="F73" s="243"/>
      <c r="G73" s="243"/>
      <c r="H73" s="243"/>
      <c r="I73" s="243"/>
      <c r="J73" s="243"/>
      <c r="K73" s="243"/>
      <c r="L73" s="243"/>
      <c r="M73" s="243"/>
      <c r="N73" s="243"/>
      <c r="O73" s="243"/>
      <c r="Q73" s="245"/>
    </row>
    <row r="74" spans="1:17" s="244" customFormat="1" ht="15.95" customHeight="1">
      <c r="A74" s="243"/>
      <c r="B74" s="243"/>
      <c r="C74" s="243"/>
      <c r="D74" s="243"/>
      <c r="E74" s="243"/>
      <c r="F74" s="243"/>
      <c r="G74" s="243"/>
      <c r="H74" s="243"/>
      <c r="I74" s="243"/>
      <c r="J74" s="243"/>
      <c r="K74" s="243"/>
      <c r="L74" s="243"/>
      <c r="M74" s="243"/>
      <c r="N74" s="243"/>
      <c r="O74" s="243"/>
      <c r="Q74" s="245"/>
    </row>
    <row r="75" spans="1:17" s="244" customFormat="1" ht="15.95" customHeight="1">
      <c r="A75" s="243"/>
      <c r="B75" s="243"/>
      <c r="C75" s="243"/>
      <c r="D75" s="243"/>
      <c r="E75" s="243"/>
      <c r="F75" s="243"/>
      <c r="G75" s="243"/>
      <c r="H75" s="243"/>
      <c r="I75" s="243"/>
      <c r="J75" s="243"/>
      <c r="K75" s="243"/>
      <c r="L75" s="243"/>
      <c r="M75" s="243"/>
      <c r="N75" s="243"/>
      <c r="O75" s="243"/>
      <c r="Q75" s="245"/>
    </row>
    <row r="76" spans="1:17" s="244" customFormat="1" ht="15.95" customHeight="1">
      <c r="A76" s="243"/>
      <c r="B76" s="243"/>
      <c r="C76" s="243"/>
      <c r="D76" s="243"/>
      <c r="E76" s="243"/>
      <c r="F76" s="243"/>
      <c r="G76" s="243"/>
      <c r="H76" s="243"/>
      <c r="I76" s="243"/>
      <c r="J76" s="243"/>
      <c r="K76" s="243"/>
      <c r="L76" s="243"/>
      <c r="M76" s="243"/>
      <c r="N76" s="243"/>
      <c r="O76" s="243"/>
      <c r="Q76" s="245"/>
    </row>
    <row r="77" spans="1:17" s="244" customFormat="1" ht="15.95" customHeight="1">
      <c r="A77" s="243"/>
      <c r="B77" s="243"/>
      <c r="C77" s="243"/>
      <c r="D77" s="243"/>
      <c r="E77" s="243"/>
      <c r="F77" s="243"/>
      <c r="G77" s="243"/>
      <c r="H77" s="243"/>
      <c r="I77" s="243"/>
      <c r="J77" s="243"/>
      <c r="K77" s="243"/>
      <c r="L77" s="243"/>
      <c r="M77" s="243"/>
      <c r="N77" s="243"/>
      <c r="O77" s="243"/>
      <c r="Q77" s="245"/>
    </row>
    <row r="78" spans="1:17" s="244" customFormat="1" ht="15.95" customHeight="1">
      <c r="A78" s="243"/>
      <c r="B78" s="243"/>
      <c r="C78" s="243"/>
      <c r="D78" s="243"/>
      <c r="E78" s="243"/>
      <c r="F78" s="243"/>
      <c r="G78" s="243"/>
      <c r="H78" s="243"/>
      <c r="I78" s="243"/>
      <c r="J78" s="243"/>
      <c r="K78" s="243"/>
      <c r="L78" s="243"/>
      <c r="M78" s="243"/>
      <c r="N78" s="243"/>
      <c r="O78" s="243"/>
      <c r="Q78" s="245"/>
    </row>
    <row r="79" spans="1:17" s="244" customFormat="1" ht="15.95" customHeight="1">
      <c r="A79" s="243"/>
      <c r="B79" s="243"/>
      <c r="C79" s="243"/>
      <c r="D79" s="243"/>
      <c r="E79" s="243"/>
      <c r="F79" s="243"/>
      <c r="G79" s="243"/>
      <c r="H79" s="243"/>
      <c r="I79" s="243"/>
      <c r="J79" s="243"/>
      <c r="K79" s="243"/>
      <c r="L79" s="243"/>
      <c r="M79" s="243"/>
      <c r="N79" s="243"/>
      <c r="O79" s="243"/>
      <c r="Q79" s="245"/>
    </row>
    <row r="80" spans="1:17" s="244" customFormat="1" ht="15.95" customHeight="1">
      <c r="A80" s="243"/>
      <c r="B80" s="243"/>
      <c r="C80" s="243"/>
      <c r="D80" s="243"/>
      <c r="E80" s="243"/>
      <c r="F80" s="243"/>
      <c r="G80" s="243"/>
      <c r="H80" s="243"/>
      <c r="I80" s="243"/>
      <c r="J80" s="243"/>
      <c r="K80" s="243"/>
      <c r="L80" s="243"/>
      <c r="M80" s="243"/>
      <c r="N80" s="243"/>
      <c r="O80" s="243"/>
      <c r="Q80" s="245"/>
    </row>
    <row r="81" spans="1:17" s="244" customFormat="1" ht="15.95" customHeight="1">
      <c r="A81" s="243"/>
      <c r="B81" s="243"/>
      <c r="C81" s="243"/>
      <c r="D81" s="243"/>
      <c r="E81" s="243"/>
      <c r="F81" s="243"/>
      <c r="G81" s="243"/>
      <c r="H81" s="243"/>
      <c r="I81" s="243"/>
      <c r="J81" s="243"/>
      <c r="K81" s="243"/>
      <c r="L81" s="243"/>
      <c r="M81" s="243"/>
      <c r="N81" s="243"/>
      <c r="O81" s="243"/>
      <c r="Q81" s="245"/>
    </row>
    <row r="82" spans="1:17" s="244" customFormat="1" ht="15.95" customHeight="1">
      <c r="A82" s="243"/>
      <c r="B82" s="243"/>
      <c r="C82" s="243"/>
      <c r="D82" s="243"/>
      <c r="E82" s="243"/>
      <c r="F82" s="243"/>
      <c r="G82" s="243"/>
      <c r="H82" s="243"/>
      <c r="I82" s="243"/>
      <c r="J82" s="243"/>
      <c r="K82" s="243"/>
      <c r="L82" s="243"/>
      <c r="M82" s="243"/>
      <c r="N82" s="243"/>
      <c r="O82" s="243"/>
      <c r="Q82" s="245"/>
    </row>
    <row r="83" spans="1:17" s="244" customFormat="1" ht="15.95" customHeight="1">
      <c r="A83" s="243"/>
      <c r="B83" s="243"/>
      <c r="C83" s="243"/>
      <c r="D83" s="243"/>
      <c r="E83" s="243"/>
      <c r="F83" s="243"/>
      <c r="G83" s="243"/>
      <c r="H83" s="243"/>
      <c r="I83" s="243"/>
      <c r="J83" s="243"/>
      <c r="K83" s="243"/>
      <c r="L83" s="243"/>
      <c r="M83" s="243"/>
      <c r="N83" s="243"/>
      <c r="O83" s="243"/>
      <c r="Q83" s="245"/>
    </row>
    <row r="84" spans="1:17" s="244" customFormat="1" ht="15.95" customHeight="1">
      <c r="A84" s="243"/>
      <c r="B84" s="243"/>
      <c r="C84" s="243"/>
      <c r="D84" s="243"/>
      <c r="E84" s="243"/>
      <c r="F84" s="243"/>
      <c r="G84" s="243"/>
      <c r="H84" s="243"/>
      <c r="I84" s="243"/>
      <c r="J84" s="243"/>
      <c r="K84" s="243"/>
      <c r="L84" s="243"/>
      <c r="M84" s="243"/>
      <c r="N84" s="243"/>
      <c r="O84" s="243"/>
      <c r="Q84" s="245"/>
    </row>
    <row r="85" spans="1:17" s="244" customFormat="1" ht="15.95" customHeight="1">
      <c r="A85" s="243"/>
      <c r="B85" s="243"/>
      <c r="C85" s="243"/>
      <c r="D85" s="243"/>
      <c r="E85" s="243"/>
      <c r="F85" s="243"/>
      <c r="G85" s="243"/>
      <c r="H85" s="243"/>
      <c r="I85" s="243"/>
      <c r="J85" s="243"/>
      <c r="K85" s="243"/>
      <c r="L85" s="243"/>
      <c r="M85" s="243"/>
      <c r="N85" s="243"/>
      <c r="O85" s="243"/>
      <c r="Q85" s="245"/>
    </row>
    <row r="86" spans="1:17" s="244" customFormat="1" ht="15.95" customHeight="1">
      <c r="A86" s="243"/>
      <c r="B86" s="243"/>
      <c r="C86" s="243"/>
      <c r="D86" s="243"/>
      <c r="E86" s="243"/>
      <c r="F86" s="243"/>
      <c r="G86" s="243"/>
      <c r="H86" s="243"/>
      <c r="I86" s="243"/>
      <c r="J86" s="243"/>
      <c r="K86" s="243"/>
      <c r="L86" s="243"/>
      <c r="M86" s="243"/>
      <c r="N86" s="243"/>
      <c r="O86" s="243"/>
      <c r="Q86" s="245"/>
    </row>
    <row r="87" spans="1:17" s="244" customFormat="1" ht="15.95" customHeight="1">
      <c r="A87" s="243"/>
      <c r="B87" s="243"/>
      <c r="C87" s="243"/>
      <c r="D87" s="243"/>
      <c r="E87" s="243"/>
      <c r="F87" s="243"/>
      <c r="G87" s="243"/>
      <c r="H87" s="243"/>
      <c r="I87" s="243"/>
      <c r="J87" s="243"/>
      <c r="K87" s="243"/>
      <c r="L87" s="243"/>
      <c r="M87" s="243"/>
      <c r="N87" s="243"/>
      <c r="O87" s="243"/>
      <c r="Q87" s="245"/>
    </row>
    <row r="88" spans="1:17" s="244" customFormat="1" ht="15.95" customHeight="1">
      <c r="A88" s="243"/>
      <c r="B88" s="243"/>
      <c r="C88" s="243"/>
      <c r="D88" s="243"/>
      <c r="E88" s="243"/>
      <c r="F88" s="243"/>
      <c r="G88" s="243"/>
      <c r="H88" s="243"/>
      <c r="I88" s="243"/>
      <c r="J88" s="243"/>
      <c r="K88" s="243"/>
      <c r="L88" s="243"/>
      <c r="M88" s="243"/>
      <c r="N88" s="243"/>
      <c r="O88" s="243"/>
      <c r="Q88" s="245"/>
    </row>
    <row r="89" spans="1:17" s="244" customFormat="1" ht="15.95" customHeight="1">
      <c r="A89" s="243"/>
      <c r="B89" s="243"/>
      <c r="C89" s="243"/>
      <c r="D89" s="243"/>
      <c r="E89" s="243"/>
      <c r="F89" s="243"/>
      <c r="G89" s="243"/>
      <c r="H89" s="243"/>
      <c r="I89" s="243"/>
      <c r="J89" s="243"/>
      <c r="K89" s="243"/>
      <c r="L89" s="243"/>
      <c r="M89" s="243"/>
      <c r="N89" s="243"/>
      <c r="O89" s="243"/>
      <c r="Q89" s="245"/>
    </row>
    <row r="90" spans="1:17" s="244" customFormat="1" ht="15.95" customHeight="1">
      <c r="A90" s="243"/>
      <c r="B90" s="243"/>
      <c r="C90" s="243"/>
      <c r="D90" s="243"/>
      <c r="E90" s="243"/>
      <c r="F90" s="243"/>
      <c r="G90" s="243"/>
      <c r="H90" s="243"/>
      <c r="I90" s="243"/>
      <c r="J90" s="243"/>
      <c r="K90" s="243"/>
      <c r="L90" s="243"/>
      <c r="M90" s="243"/>
      <c r="N90" s="243"/>
      <c r="O90" s="243"/>
      <c r="Q90" s="245"/>
    </row>
    <row r="91" spans="1:17" s="244" customFormat="1" ht="15.95" customHeight="1">
      <c r="A91" s="243"/>
      <c r="B91" s="243"/>
      <c r="C91" s="243"/>
      <c r="D91" s="243"/>
      <c r="E91" s="243"/>
      <c r="F91" s="243"/>
      <c r="G91" s="243"/>
      <c r="H91" s="243"/>
      <c r="I91" s="243"/>
      <c r="J91" s="243"/>
      <c r="K91" s="243"/>
      <c r="L91" s="243"/>
      <c r="M91" s="243"/>
      <c r="N91" s="243"/>
      <c r="O91" s="243"/>
      <c r="Q91" s="245"/>
    </row>
    <row r="92" spans="1:17" s="244" customFormat="1" ht="15.95" customHeight="1">
      <c r="A92" s="243"/>
      <c r="B92" s="243"/>
      <c r="C92" s="243"/>
      <c r="D92" s="243"/>
      <c r="E92" s="243"/>
      <c r="F92" s="243"/>
      <c r="G92" s="243"/>
      <c r="H92" s="243"/>
      <c r="I92" s="243"/>
      <c r="J92" s="243"/>
      <c r="K92" s="243"/>
      <c r="L92" s="243"/>
      <c r="M92" s="243"/>
      <c r="N92" s="243"/>
      <c r="O92" s="243"/>
      <c r="Q92" s="245"/>
    </row>
    <row r="93" spans="1:17" s="244" customFormat="1" ht="15.95" customHeight="1">
      <c r="A93" s="243"/>
      <c r="B93" s="243"/>
      <c r="C93" s="243"/>
      <c r="D93" s="243"/>
      <c r="E93" s="243"/>
      <c r="F93" s="243"/>
      <c r="G93" s="243"/>
      <c r="H93" s="243"/>
      <c r="I93" s="243"/>
      <c r="J93" s="243"/>
      <c r="K93" s="243"/>
      <c r="L93" s="243"/>
      <c r="M93" s="243"/>
      <c r="N93" s="243"/>
      <c r="O93" s="243"/>
      <c r="Q93" s="245"/>
    </row>
    <row r="94" spans="1:17" s="244" customFormat="1" ht="15.95" customHeight="1">
      <c r="A94" s="243"/>
      <c r="B94" s="243"/>
      <c r="C94" s="243"/>
      <c r="D94" s="243"/>
      <c r="E94" s="243"/>
      <c r="F94" s="243"/>
      <c r="G94" s="243"/>
      <c r="H94" s="243"/>
      <c r="I94" s="243"/>
      <c r="J94" s="243"/>
      <c r="K94" s="243"/>
      <c r="L94" s="243"/>
      <c r="M94" s="243"/>
      <c r="N94" s="243"/>
      <c r="O94" s="243"/>
      <c r="Q94" s="245"/>
    </row>
    <row r="95" spans="1:17" s="244" customFormat="1" ht="15.95" customHeight="1">
      <c r="A95" s="243"/>
      <c r="B95" s="243"/>
      <c r="C95" s="243"/>
      <c r="D95" s="243"/>
      <c r="E95" s="243"/>
      <c r="F95" s="243"/>
      <c r="G95" s="243"/>
      <c r="H95" s="243"/>
      <c r="I95" s="243"/>
      <c r="J95" s="243"/>
      <c r="K95" s="243"/>
      <c r="L95" s="243"/>
      <c r="M95" s="243"/>
      <c r="N95" s="243"/>
      <c r="O95" s="243"/>
      <c r="Q95" s="245"/>
    </row>
    <row r="96" spans="1:17" s="244" customFormat="1" ht="15.95" customHeight="1">
      <c r="A96" s="243"/>
      <c r="B96" s="243"/>
      <c r="C96" s="243"/>
      <c r="D96" s="243"/>
      <c r="E96" s="243"/>
      <c r="F96" s="243"/>
      <c r="G96" s="243"/>
      <c r="H96" s="243"/>
      <c r="I96" s="243"/>
      <c r="J96" s="243"/>
      <c r="K96" s="243"/>
      <c r="L96" s="243"/>
      <c r="M96" s="243"/>
      <c r="N96" s="243"/>
      <c r="O96" s="243"/>
      <c r="Q96" s="245"/>
    </row>
    <row r="97" spans="1:17" s="244" customFormat="1" ht="15.95" customHeight="1">
      <c r="A97" s="243"/>
      <c r="B97" s="243"/>
      <c r="C97" s="243"/>
      <c r="D97" s="243"/>
      <c r="E97" s="243"/>
      <c r="F97" s="243"/>
      <c r="G97" s="243"/>
      <c r="H97" s="243"/>
      <c r="I97" s="243"/>
      <c r="J97" s="243"/>
      <c r="K97" s="243"/>
      <c r="L97" s="243"/>
      <c r="M97" s="243"/>
      <c r="N97" s="243"/>
      <c r="O97" s="243"/>
      <c r="Q97" s="245"/>
    </row>
    <row r="98" spans="1:17" s="244" customFormat="1" ht="15.95" customHeight="1">
      <c r="A98" s="243"/>
      <c r="B98" s="243"/>
      <c r="C98" s="243"/>
      <c r="D98" s="243"/>
      <c r="E98" s="243"/>
      <c r="F98" s="243"/>
      <c r="G98" s="243"/>
      <c r="H98" s="243"/>
      <c r="I98" s="243"/>
      <c r="J98" s="243"/>
      <c r="K98" s="243"/>
      <c r="L98" s="243"/>
      <c r="M98" s="243"/>
      <c r="N98" s="243"/>
      <c r="O98" s="243"/>
      <c r="Q98" s="245"/>
    </row>
    <row r="99" spans="1:17" s="244" customFormat="1" ht="15.95" customHeight="1">
      <c r="A99" s="243"/>
      <c r="B99" s="243"/>
      <c r="C99" s="243"/>
      <c r="D99" s="243"/>
      <c r="E99" s="243"/>
      <c r="F99" s="243"/>
      <c r="G99" s="243"/>
      <c r="H99" s="243"/>
      <c r="I99" s="243"/>
      <c r="J99" s="243"/>
      <c r="K99" s="243"/>
      <c r="L99" s="243"/>
      <c r="M99" s="243"/>
      <c r="N99" s="243"/>
      <c r="O99" s="243"/>
      <c r="Q99" s="245"/>
    </row>
    <row r="100" spans="1:17" s="244" customFormat="1" ht="15.95" customHeight="1">
      <c r="A100" s="243"/>
      <c r="B100" s="243"/>
      <c r="C100" s="243"/>
      <c r="D100" s="243"/>
      <c r="E100" s="243"/>
      <c r="F100" s="243"/>
      <c r="G100" s="243"/>
      <c r="H100" s="243"/>
      <c r="I100" s="243"/>
      <c r="J100" s="243"/>
      <c r="K100" s="243"/>
      <c r="L100" s="243"/>
      <c r="M100" s="243"/>
      <c r="N100" s="243"/>
      <c r="O100" s="243"/>
      <c r="Q100" s="245"/>
    </row>
    <row r="101" spans="1:17" s="244" customFormat="1" ht="15.95" customHeight="1">
      <c r="A101" s="243"/>
      <c r="B101" s="243"/>
      <c r="C101" s="243"/>
      <c r="D101" s="243"/>
      <c r="E101" s="243"/>
      <c r="F101" s="243"/>
      <c r="G101" s="243"/>
      <c r="H101" s="243"/>
      <c r="I101" s="243"/>
      <c r="J101" s="243"/>
      <c r="K101" s="243"/>
      <c r="L101" s="243"/>
      <c r="M101" s="243"/>
      <c r="N101" s="243"/>
      <c r="O101" s="243"/>
      <c r="Q101" s="245"/>
    </row>
    <row r="102" spans="1:17" s="244" customFormat="1" ht="15.95" customHeight="1">
      <c r="A102" s="243"/>
      <c r="B102" s="243"/>
      <c r="C102" s="243"/>
      <c r="D102" s="243"/>
      <c r="E102" s="243"/>
      <c r="F102" s="243"/>
      <c r="G102" s="243"/>
      <c r="H102" s="243"/>
      <c r="I102" s="243"/>
      <c r="J102" s="243"/>
      <c r="K102" s="243"/>
      <c r="L102" s="243"/>
      <c r="M102" s="243"/>
      <c r="N102" s="243"/>
      <c r="O102" s="243"/>
      <c r="Q102" s="245"/>
    </row>
    <row r="103" spans="1:17" s="244" customFormat="1" ht="15.95" customHeight="1">
      <c r="A103" s="243"/>
      <c r="B103" s="243"/>
      <c r="C103" s="243"/>
      <c r="D103" s="243"/>
      <c r="E103" s="243"/>
      <c r="F103" s="243"/>
      <c r="G103" s="243"/>
      <c r="H103" s="243"/>
      <c r="I103" s="243"/>
      <c r="J103" s="243"/>
      <c r="K103" s="243"/>
      <c r="L103" s="243"/>
      <c r="M103" s="243"/>
      <c r="N103" s="243"/>
      <c r="O103" s="243"/>
      <c r="Q103" s="245"/>
    </row>
    <row r="104" spans="1:17" s="244" customFormat="1" ht="15.95" customHeight="1">
      <c r="A104" s="243"/>
      <c r="B104" s="243"/>
      <c r="C104" s="243"/>
      <c r="D104" s="243"/>
      <c r="E104" s="243"/>
      <c r="F104" s="243"/>
      <c r="G104" s="243"/>
      <c r="H104" s="243"/>
      <c r="I104" s="243"/>
      <c r="J104" s="243"/>
      <c r="K104" s="243"/>
      <c r="L104" s="243"/>
      <c r="M104" s="243"/>
      <c r="N104" s="243"/>
      <c r="O104" s="243"/>
      <c r="Q104" s="245"/>
    </row>
    <row r="105" spans="1:17" s="244" customFormat="1" ht="15.95" customHeight="1">
      <c r="A105" s="243"/>
      <c r="B105" s="243"/>
      <c r="C105" s="243"/>
      <c r="D105" s="243"/>
      <c r="E105" s="243"/>
      <c r="F105" s="243"/>
      <c r="G105" s="243"/>
      <c r="H105" s="243"/>
      <c r="I105" s="243"/>
      <c r="J105" s="243"/>
      <c r="K105" s="243"/>
      <c r="L105" s="243"/>
      <c r="M105" s="243"/>
      <c r="N105" s="243"/>
      <c r="O105" s="243"/>
      <c r="Q105" s="245"/>
    </row>
    <row r="106" spans="1:17" s="244" customFormat="1" ht="15.95" customHeight="1">
      <c r="A106" s="243"/>
      <c r="B106" s="243"/>
      <c r="C106" s="243"/>
      <c r="D106" s="243"/>
      <c r="E106" s="243"/>
      <c r="F106" s="243"/>
      <c r="G106" s="243"/>
      <c r="H106" s="243"/>
      <c r="I106" s="243"/>
      <c r="J106" s="243"/>
      <c r="K106" s="243"/>
      <c r="L106" s="243"/>
      <c r="M106" s="243"/>
      <c r="N106" s="243"/>
      <c r="O106" s="243"/>
      <c r="Q106" s="245"/>
    </row>
    <row r="107" spans="1:17" ht="15.95" customHeight="1">
      <c r="B107" s="243"/>
      <c r="C107" s="243"/>
      <c r="D107" s="243"/>
      <c r="E107" s="243"/>
      <c r="F107" s="243"/>
    </row>
  </sheetData>
  <mergeCells count="2">
    <mergeCell ref="D16:F16"/>
    <mergeCell ref="B4:G4"/>
  </mergeCells>
  <phoneticPr fontId="2" type="noConversion"/>
  <pageMargins left="0.74803149606299213" right="0.74803149606299213" top="0.84" bottom="0.64" header="0.51181102362204722" footer="0.51181102362204722"/>
  <pageSetup paperSize="9" scale="75" fitToHeight="4" orientation="landscape" horizontalDpi="4294967293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7" enableFormatConditionsCalculation="0">
    <tabColor indexed="43"/>
    <pageSetUpPr fitToPage="1"/>
  </sheetPr>
  <dimension ref="A1:AA23"/>
  <sheetViews>
    <sheetView view="pageBreakPreview" zoomScale="85" zoomScaleNormal="55" zoomScaleSheetLayoutView="70" workbookViewId="0">
      <selection activeCell="D9" sqref="D9"/>
    </sheetView>
  </sheetViews>
  <sheetFormatPr defaultRowHeight="15.95" customHeight="1"/>
  <cols>
    <col min="1" max="1" width="1.88671875" style="24" customWidth="1"/>
    <col min="2" max="2" width="17.5546875" style="24" customWidth="1"/>
    <col min="3" max="3" width="13.44140625" style="24" customWidth="1"/>
    <col min="4" max="5" width="14.21875" style="24" customWidth="1"/>
    <col min="6" max="7" width="14.6640625" style="24" customWidth="1"/>
    <col min="8" max="8" width="18.33203125" style="24" customWidth="1"/>
    <col min="9" max="12" width="5.6640625" style="24" bestFit="1" customWidth="1"/>
    <col min="13" max="13" width="6.5546875" style="24" customWidth="1"/>
    <col min="14" max="14" width="6.44140625" style="24" customWidth="1"/>
    <col min="15" max="19" width="5.6640625" style="2" bestFit="1" customWidth="1"/>
    <col min="20" max="20" width="5.77734375" style="2" customWidth="1"/>
    <col min="21" max="21" width="5.6640625" style="2" bestFit="1" customWidth="1"/>
    <col min="22" max="22" width="5.5546875" style="2" customWidth="1"/>
    <col min="23" max="24" width="7.88671875" style="2" customWidth="1"/>
    <col min="25" max="25" width="9.109375" style="2" customWidth="1"/>
    <col min="26" max="26" width="8.33203125" style="2" customWidth="1"/>
    <col min="27" max="27" width="7.88671875" style="18" customWidth="1"/>
    <col min="28" max="28" width="6.33203125" style="2" bestFit="1" customWidth="1"/>
    <col min="29" max="29" width="8.77734375" style="2" customWidth="1"/>
    <col min="30" max="30" width="6.33203125" style="2" bestFit="1" customWidth="1"/>
    <col min="31" max="31" width="8.5546875" style="2" customWidth="1"/>
    <col min="32" max="32" width="7.5546875" style="2" bestFit="1" customWidth="1"/>
    <col min="33" max="33" width="6" style="2" customWidth="1"/>
    <col min="34" max="34" width="9.44140625" style="2" customWidth="1"/>
    <col min="35" max="35" width="4" style="2" customWidth="1"/>
    <col min="36" max="36" width="7.77734375" style="2" customWidth="1"/>
    <col min="37" max="16384" width="8.88671875" style="2"/>
  </cols>
  <sheetData>
    <row r="1" spans="1:27" s="8" customFormat="1" ht="18.75" customHeight="1">
      <c r="A1" s="78"/>
      <c r="B1" s="78" t="s">
        <v>258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AA1" s="19"/>
    </row>
    <row r="2" spans="1:27" s="4" customFormat="1" ht="20.100000000000001" customHeight="1">
      <c r="A2" s="107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AA2" s="17"/>
    </row>
    <row r="3" spans="1:27" s="4" customFormat="1" ht="37.5" customHeight="1">
      <c r="A3" s="107"/>
      <c r="B3" s="281" t="s">
        <v>254</v>
      </c>
      <c r="C3" s="999" t="s">
        <v>775</v>
      </c>
      <c r="D3" s="999"/>
      <c r="E3" s="999"/>
      <c r="F3" s="999"/>
      <c r="G3" s="999"/>
      <c r="H3" s="999"/>
      <c r="I3" s="25"/>
      <c r="J3" s="25"/>
      <c r="K3" s="25"/>
      <c r="L3" s="25"/>
      <c r="M3" s="25"/>
      <c r="N3" s="25"/>
      <c r="AA3" s="17"/>
    </row>
    <row r="4" spans="1:27" s="4" customFormat="1" ht="57.75" customHeight="1">
      <c r="A4" s="107"/>
      <c r="B4" s="1001" t="s">
        <v>387</v>
      </c>
      <c r="C4" s="1002"/>
      <c r="D4" s="1002"/>
      <c r="E4" s="1002"/>
      <c r="F4" s="1002"/>
      <c r="G4" s="1002"/>
      <c r="H4" s="1003"/>
      <c r="I4" s="25"/>
      <c r="J4" s="25"/>
      <c r="K4" s="25"/>
      <c r="L4" s="25"/>
      <c r="M4" s="25"/>
      <c r="N4" s="25"/>
      <c r="AA4" s="17"/>
    </row>
    <row r="5" spans="1:27" s="4" customFormat="1" ht="57.75" customHeight="1">
      <c r="A5" s="107"/>
      <c r="B5" s="281" t="s">
        <v>389</v>
      </c>
      <c r="C5" s="1004"/>
      <c r="D5" s="1004"/>
      <c r="E5" s="281" t="s">
        <v>394</v>
      </c>
      <c r="F5" s="1005"/>
      <c r="G5" s="1005"/>
      <c r="H5" s="1005"/>
      <c r="I5" s="25"/>
      <c r="J5" s="25"/>
      <c r="W5" s="17"/>
    </row>
    <row r="6" spans="1:27" s="4" customFormat="1" ht="57.75" customHeight="1">
      <c r="A6" s="107"/>
      <c r="B6" s="281" t="s">
        <v>393</v>
      </c>
      <c r="C6" s="999"/>
      <c r="D6" s="999"/>
      <c r="E6" s="999"/>
      <c r="F6" s="999"/>
      <c r="G6" s="999"/>
      <c r="H6" s="999"/>
      <c r="I6" s="25"/>
      <c r="J6" s="25"/>
      <c r="W6" s="17"/>
    </row>
    <row r="7" spans="1:27" s="4" customFormat="1" ht="57.75" customHeight="1">
      <c r="A7" s="107"/>
      <c r="B7" s="281" t="s">
        <v>255</v>
      </c>
      <c r="C7" s="999"/>
      <c r="D7" s="999"/>
      <c r="E7" s="999"/>
      <c r="F7" s="1000" t="s">
        <v>379</v>
      </c>
      <c r="G7" s="1000"/>
      <c r="H7" s="1000"/>
      <c r="I7" s="25"/>
      <c r="J7" s="25"/>
      <c r="K7" s="25"/>
      <c r="L7" s="25"/>
      <c r="M7" s="25"/>
      <c r="N7" s="25"/>
      <c r="AA7" s="17"/>
    </row>
    <row r="8" spans="1:27" s="4" customFormat="1" ht="57.75" customHeight="1">
      <c r="A8" s="107"/>
      <c r="B8" s="1000" t="s">
        <v>287</v>
      </c>
      <c r="C8" s="281" t="s">
        <v>380</v>
      </c>
      <c r="D8" s="281" t="s">
        <v>256</v>
      </c>
      <c r="E8" s="281" t="s">
        <v>381</v>
      </c>
      <c r="F8" s="281" t="s">
        <v>382</v>
      </c>
      <c r="G8" s="281" t="s">
        <v>383</v>
      </c>
      <c r="H8" s="281" t="s">
        <v>384</v>
      </c>
      <c r="I8" s="25"/>
      <c r="J8" s="25"/>
      <c r="K8" s="25"/>
      <c r="L8" s="25"/>
      <c r="M8" s="25"/>
      <c r="N8" s="25"/>
      <c r="AA8" s="17"/>
    </row>
    <row r="9" spans="1:27" s="4" customFormat="1" ht="57.75" customHeight="1">
      <c r="A9" s="25"/>
      <c r="B9" s="1000"/>
      <c r="C9" s="511" t="s">
        <v>341</v>
      </c>
      <c r="D9" s="513"/>
      <c r="E9" s="513"/>
      <c r="F9" s="511"/>
      <c r="G9" s="511"/>
      <c r="H9" s="511"/>
      <c r="I9" s="25"/>
      <c r="J9" s="25"/>
      <c r="K9" s="25"/>
      <c r="L9" s="25"/>
      <c r="M9" s="25"/>
      <c r="N9" s="25"/>
    </row>
    <row r="10" spans="1:27" ht="20.100000000000001" customHeight="1">
      <c r="I10" s="111"/>
      <c r="J10" s="111"/>
      <c r="K10" s="25"/>
      <c r="L10" s="25"/>
      <c r="M10" s="25"/>
      <c r="N10" s="25"/>
      <c r="O10" s="4"/>
      <c r="P10" s="4"/>
      <c r="Q10" s="4"/>
      <c r="R10" s="4"/>
      <c r="S10" s="4"/>
      <c r="T10" s="4"/>
      <c r="U10" s="4"/>
      <c r="V10" s="4"/>
    </row>
    <row r="11" spans="1:27" ht="18.75" customHeight="1">
      <c r="B11" s="175"/>
      <c r="C11" s="181"/>
      <c r="D11" s="177"/>
      <c r="E11" s="177"/>
      <c r="F11" s="112"/>
      <c r="G11" s="112"/>
      <c r="H11" s="181"/>
      <c r="I11" s="181"/>
      <c r="J11" s="177"/>
      <c r="K11" s="181"/>
      <c r="L11" s="177"/>
      <c r="M11" s="112"/>
      <c r="N11" s="112"/>
    </row>
    <row r="12" spans="1:27" ht="18.75" customHeight="1">
      <c r="B12" s="179" t="s">
        <v>253</v>
      </c>
      <c r="C12" s="172" t="s">
        <v>385</v>
      </c>
      <c r="D12" s="174"/>
      <c r="E12" s="174"/>
      <c r="F12" s="174"/>
      <c r="G12" s="174"/>
      <c r="H12" s="180"/>
    </row>
    <row r="13" spans="1:27" ht="15.95" customHeight="1">
      <c r="B13" s="179" t="s">
        <v>249</v>
      </c>
      <c r="C13" s="172" t="s">
        <v>386</v>
      </c>
      <c r="D13" s="174"/>
      <c r="E13" s="174"/>
      <c r="F13" s="174"/>
      <c r="G13" s="174"/>
      <c r="H13" s="174"/>
    </row>
    <row r="14" spans="1:27" ht="15.95" customHeight="1">
      <c r="B14" s="179"/>
      <c r="C14" s="172"/>
      <c r="D14" s="174"/>
      <c r="E14" s="174"/>
      <c r="F14" s="174"/>
      <c r="G14" s="174"/>
      <c r="H14" s="174"/>
    </row>
    <row r="15" spans="1:27" ht="15.95" customHeight="1">
      <c r="B15" s="179"/>
      <c r="C15" s="172"/>
      <c r="D15" s="174"/>
      <c r="E15" s="174"/>
      <c r="F15" s="174"/>
      <c r="G15" s="174"/>
      <c r="H15" s="174"/>
    </row>
    <row r="16" spans="1:27" ht="15.95" customHeight="1">
      <c r="B16" s="174"/>
      <c r="C16" s="174"/>
      <c r="D16" s="174"/>
      <c r="E16" s="174"/>
      <c r="F16" s="174"/>
      <c r="G16" s="174"/>
      <c r="H16" s="174"/>
    </row>
    <row r="23" spans="16:16" ht="15.95" customHeight="1">
      <c r="P23" s="566" t="e">
        <f>기술투자!#REF!</f>
        <v>#REF!</v>
      </c>
    </row>
  </sheetData>
  <mergeCells count="8">
    <mergeCell ref="C6:H6"/>
    <mergeCell ref="B8:B9"/>
    <mergeCell ref="C7:E7"/>
    <mergeCell ref="C3:H3"/>
    <mergeCell ref="F7:H7"/>
    <mergeCell ref="B4:H4"/>
    <mergeCell ref="C5:D5"/>
    <mergeCell ref="F5:H5"/>
  </mergeCells>
  <phoneticPr fontId="2" type="noConversion"/>
  <pageMargins left="0.74803149606299213" right="0.74803149606299213" top="0.78740157480314965" bottom="0.78740157480314965" header="0.51181102362204722" footer="0.51181102362204722"/>
  <pageSetup paperSize="9" orientation="landscape" horizontalDpi="4294967293" r:id="rId1"/>
  <headerFooter alignWithMargins="0"/>
  <colBreaks count="1" manualBreakCount="1">
    <brk id="34" max="62" man="1"/>
  </colBreaks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7" enableFormatConditionsCalculation="0">
    <tabColor indexed="10"/>
    <pageSetUpPr fitToPage="1"/>
  </sheetPr>
  <dimension ref="A1:P21"/>
  <sheetViews>
    <sheetView view="pageBreakPreview" topLeftCell="B1" zoomScale="85" workbookViewId="0">
      <selection activeCell="G7" sqref="G7:G9"/>
    </sheetView>
  </sheetViews>
  <sheetFormatPr defaultRowHeight="15.95" customHeight="1"/>
  <cols>
    <col min="1" max="1" width="2.109375" style="24" customWidth="1"/>
    <col min="2" max="2" width="26.6640625" style="24" customWidth="1"/>
    <col min="3" max="3" width="28.21875" style="24" customWidth="1"/>
    <col min="4" max="4" width="17.6640625" style="24" customWidth="1"/>
    <col min="5" max="5" width="16.44140625" style="86" customWidth="1"/>
    <col min="6" max="7" width="13.77734375" style="87" customWidth="1"/>
    <col min="8" max="8" width="11.33203125" style="24" customWidth="1"/>
    <col min="9" max="9" width="19" style="2" customWidth="1"/>
    <col min="10" max="10" width="10.5546875" style="2" customWidth="1"/>
    <col min="11" max="11" width="7.44140625" style="2" bestFit="1" customWidth="1"/>
    <col min="12" max="12" width="11.88671875" style="2" customWidth="1"/>
    <col min="13" max="13" width="11.109375" style="2" customWidth="1"/>
    <col min="14" max="16384" width="8.88671875" style="2"/>
  </cols>
  <sheetData>
    <row r="1" spans="1:12" s="9" customFormat="1" ht="32.25" customHeight="1">
      <c r="A1" s="81" t="s">
        <v>218</v>
      </c>
      <c r="B1" s="80"/>
      <c r="C1" s="80"/>
      <c r="D1" s="80"/>
      <c r="E1" s="82"/>
      <c r="F1" s="83"/>
      <c r="G1" s="83"/>
      <c r="H1" s="80"/>
    </row>
    <row r="2" spans="1:12" s="6" customFormat="1" ht="16.5" customHeight="1" thickBot="1">
      <c r="A2" s="84"/>
      <c r="B2" s="74"/>
      <c r="C2" s="74"/>
      <c r="D2" s="74"/>
      <c r="E2" s="85"/>
      <c r="F2" s="75"/>
      <c r="G2" s="75"/>
      <c r="H2" s="74"/>
    </row>
    <row r="3" spans="1:12" s="4" customFormat="1" ht="43.5" customHeight="1">
      <c r="A3" s="25"/>
      <c r="B3" s="391" t="s">
        <v>197</v>
      </c>
      <c r="C3" s="392" t="s">
        <v>88</v>
      </c>
      <c r="D3" s="392" t="s">
        <v>106</v>
      </c>
      <c r="E3" s="393" t="s">
        <v>109</v>
      </c>
      <c r="F3" s="1017" t="s">
        <v>119</v>
      </c>
      <c r="G3" s="1018"/>
      <c r="H3" s="517" t="s">
        <v>89</v>
      </c>
    </row>
    <row r="4" spans="1:12" s="4" customFormat="1" ht="43.5" customHeight="1">
      <c r="A4" s="25"/>
      <c r="B4" s="1023" t="s">
        <v>297</v>
      </c>
      <c r="C4" s="287" t="str">
        <f>참여업체!C6</f>
        <v>oo엔지니어링</v>
      </c>
      <c r="D4" s="292">
        <f>'유사(000)'!M10</f>
        <v>2.57</v>
      </c>
      <c r="E4" s="291">
        <f>참여업체!C7</f>
        <v>0.42</v>
      </c>
      <c r="F4" s="1019">
        <f>(D4*E4)+(D5*E5)+(D6*E6)</f>
        <v>2.2576499999999999</v>
      </c>
      <c r="G4" s="1020"/>
      <c r="H4" s="1006">
        <f>IF(F4&gt;=배점기준!$E$67,배점기준!$E$68,IF(F4&gt;=배점기준!$F$67,배점기준!$F$68,IF(F4&gt;=배점기준!$G$67,배점기준!$G$68,배점기준!$H$68)))</f>
        <v>6.3</v>
      </c>
    </row>
    <row r="5" spans="1:12" s="4" customFormat="1" ht="43.5" customHeight="1">
      <c r="A5" s="25"/>
      <c r="B5" s="1024"/>
      <c r="C5" s="756" t="str">
        <f>참여업체!D6</f>
        <v>＊＊엔지니어링</v>
      </c>
      <c r="D5" s="757">
        <f>'유사(0001)'!M8</f>
        <v>1.45</v>
      </c>
      <c r="E5" s="758">
        <f>참여업체!D7</f>
        <v>0.33</v>
      </c>
      <c r="F5" s="1021"/>
      <c r="G5" s="1022"/>
      <c r="H5" s="1007"/>
    </row>
    <row r="6" spans="1:12" s="4" customFormat="1" ht="43.5" customHeight="1">
      <c r="A6" s="25"/>
      <c r="B6" s="1025"/>
      <c r="C6" s="289" t="str">
        <f>참여업체!E6</f>
        <v>☆☆엔지니어링</v>
      </c>
      <c r="D6" s="292">
        <f>'유사(0002)'!M10</f>
        <v>2.7989999999999999</v>
      </c>
      <c r="E6" s="291">
        <f>참여업체!E7</f>
        <v>0.25</v>
      </c>
      <c r="F6" s="1021"/>
      <c r="G6" s="1022"/>
      <c r="H6" s="1007"/>
    </row>
    <row r="7" spans="1:12" ht="43.5" customHeight="1">
      <c r="B7" s="1023" t="s">
        <v>298</v>
      </c>
      <c r="C7" s="287" t="str">
        <f>C4</f>
        <v>oo엔지니어링</v>
      </c>
      <c r="D7" s="657">
        <f>'유사(000)'!K10</f>
        <v>9110.887999999999</v>
      </c>
      <c r="E7" s="291">
        <f>참여업체!C7</f>
        <v>0.42</v>
      </c>
      <c r="F7" s="1009">
        <f>(D7*E7)+(D8*E8)+(D9*E9)</f>
        <v>7074.4034599999995</v>
      </c>
      <c r="G7" s="1012">
        <f>F7/(배점기준!G6/1000)</f>
        <v>4.6981684961737411</v>
      </c>
      <c r="H7" s="1006">
        <f>(IF(G7&gt;=배점기준!D71,배점기준!D72,IF(G7&gt;=배점기준!E71,배점기준!E72,IF(G7&gt;=배점기준!F71,배점기준!F72,IF(G7&gt;=배점기준!G71,배점기준!G72,IF(G7&gt;=배점기준!H71,배점기준!H72,배점기준!I72))))))</f>
        <v>7</v>
      </c>
      <c r="J7" s="534"/>
    </row>
    <row r="8" spans="1:12" ht="43.5" customHeight="1">
      <c r="B8" s="1024"/>
      <c r="C8" s="756" t="str">
        <f>C5</f>
        <v>＊＊엔지니어링</v>
      </c>
      <c r="D8" s="759">
        <f>'유사(0001)'!K8</f>
        <v>7416.0999999999985</v>
      </c>
      <c r="E8" s="758">
        <f>참여업체!D7</f>
        <v>0.33</v>
      </c>
      <c r="F8" s="1010"/>
      <c r="G8" s="1013"/>
      <c r="H8" s="1007"/>
      <c r="J8" s="534"/>
    </row>
    <row r="9" spans="1:12" ht="43.5" customHeight="1" thickBot="1">
      <c r="B9" s="1025"/>
      <c r="C9" s="289" t="str">
        <f>C6</f>
        <v>☆☆엔지니어링</v>
      </c>
      <c r="D9" s="760">
        <f>'유사(0002)'!K10</f>
        <v>3202.07</v>
      </c>
      <c r="E9" s="291">
        <f>참여업체!E7</f>
        <v>0.25</v>
      </c>
      <c r="F9" s="1011"/>
      <c r="G9" s="1014"/>
      <c r="H9" s="1008"/>
      <c r="J9" s="534"/>
      <c r="L9" s="534"/>
    </row>
    <row r="10" spans="1:12" ht="42.75" customHeight="1">
      <c r="B10" s="1015" t="s">
        <v>436</v>
      </c>
      <c r="C10" s="584" t="s">
        <v>369</v>
      </c>
      <c r="D10" s="585" t="s">
        <v>370</v>
      </c>
      <c r="E10" s="585" t="s">
        <v>438</v>
      </c>
      <c r="F10" s="586" t="s">
        <v>354</v>
      </c>
      <c r="G10" s="24"/>
      <c r="H10" s="10"/>
      <c r="I10" s="10"/>
      <c r="J10" s="10"/>
      <c r="K10" s="10"/>
    </row>
    <row r="11" spans="1:12" ht="42.75" customHeight="1" thickBot="1">
      <c r="B11" s="1016"/>
      <c r="C11" s="498"/>
      <c r="D11" s="499"/>
      <c r="E11" s="499"/>
      <c r="F11" s="497">
        <f>C11*D11*E11</f>
        <v>0</v>
      </c>
      <c r="G11" s="24"/>
      <c r="H11" s="10"/>
      <c r="I11" s="10"/>
      <c r="J11" s="10"/>
      <c r="K11" s="10"/>
    </row>
    <row r="12" spans="1:12" ht="15.95" customHeight="1">
      <c r="B12" s="88"/>
      <c r="C12" s="88"/>
      <c r="D12" s="88"/>
      <c r="E12" s="89"/>
      <c r="F12" s="90"/>
      <c r="G12" s="90"/>
      <c r="I12" s="10"/>
      <c r="J12" s="10"/>
      <c r="K12" s="10"/>
      <c r="L12" s="10"/>
    </row>
    <row r="13" spans="1:12" ht="15.95" customHeight="1">
      <c r="B13" s="88"/>
      <c r="D13" s="88"/>
      <c r="E13" s="89"/>
      <c r="F13" s="90"/>
      <c r="G13" s="90"/>
      <c r="I13" s="10"/>
      <c r="J13" s="10"/>
      <c r="K13" s="10"/>
      <c r="L13" s="10"/>
    </row>
    <row r="14" spans="1:12" ht="15.95" customHeight="1">
      <c r="B14" s="88"/>
      <c r="D14" s="91"/>
      <c r="E14" s="92"/>
      <c r="F14" s="93"/>
      <c r="G14" s="93"/>
      <c r="I14" s="10"/>
      <c r="J14" s="11"/>
      <c r="K14" s="11"/>
      <c r="L14" s="11"/>
    </row>
    <row r="15" spans="1:12" ht="15.95" customHeight="1">
      <c r="B15" s="88"/>
      <c r="D15" s="91"/>
      <c r="E15" s="92"/>
      <c r="F15" s="93"/>
      <c r="G15" s="93"/>
      <c r="I15" s="10"/>
      <c r="J15" s="11"/>
      <c r="K15" s="11"/>
      <c r="L15" s="11"/>
    </row>
    <row r="16" spans="1:12" ht="15.95" customHeight="1">
      <c r="B16" s="88"/>
      <c r="D16" s="91"/>
      <c r="E16" s="92"/>
      <c r="F16" s="93"/>
      <c r="G16" s="93"/>
      <c r="I16" s="10"/>
      <c r="J16" s="11"/>
      <c r="K16" s="11"/>
      <c r="L16" s="11"/>
    </row>
    <row r="17" spans="2:16" ht="15.95" customHeight="1">
      <c r="B17" s="88"/>
      <c r="C17" s="88"/>
      <c r="D17" s="88"/>
      <c r="E17" s="89"/>
      <c r="F17" s="90"/>
      <c r="G17" s="90"/>
      <c r="I17" s="10"/>
      <c r="J17" s="10"/>
      <c r="K17" s="10"/>
      <c r="L17" s="10"/>
    </row>
    <row r="18" spans="2:16" ht="15.95" customHeight="1">
      <c r="B18" s="88"/>
      <c r="C18" s="88"/>
      <c r="D18" s="88"/>
      <c r="E18" s="89"/>
      <c r="F18" s="90"/>
      <c r="G18" s="90"/>
      <c r="I18" s="10"/>
      <c r="J18" s="10"/>
      <c r="K18" s="10"/>
      <c r="L18" s="10"/>
    </row>
    <row r="19" spans="2:16" ht="15.95" customHeight="1">
      <c r="B19" s="88"/>
      <c r="C19" s="88"/>
      <c r="D19" s="88"/>
      <c r="E19" s="89"/>
      <c r="F19" s="90"/>
      <c r="G19" s="90"/>
      <c r="I19" s="10"/>
      <c r="J19" s="10"/>
      <c r="K19" s="10"/>
      <c r="L19" s="10"/>
    </row>
    <row r="20" spans="2:16" ht="15.95" customHeight="1">
      <c r="B20" s="88"/>
      <c r="C20" s="88"/>
      <c r="D20" s="88"/>
      <c r="E20" s="89"/>
      <c r="F20" s="90"/>
      <c r="G20" s="90"/>
      <c r="I20" s="10"/>
      <c r="J20" s="10"/>
      <c r="K20" s="10"/>
      <c r="L20" s="10"/>
    </row>
    <row r="21" spans="2:16" ht="15.95" customHeight="1">
      <c r="P21" s="566" t="e">
        <f>기술투자!#REF!</f>
        <v>#REF!</v>
      </c>
    </row>
  </sheetData>
  <protectedRanges>
    <protectedRange password="CF2F" sqref="D10" name="범위2"/>
  </protectedRanges>
  <mergeCells count="9">
    <mergeCell ref="F3:G3"/>
    <mergeCell ref="F4:G6"/>
    <mergeCell ref="B4:B6"/>
    <mergeCell ref="B7:B9"/>
    <mergeCell ref="H7:H9"/>
    <mergeCell ref="F7:F9"/>
    <mergeCell ref="G7:G9"/>
    <mergeCell ref="H4:H6"/>
    <mergeCell ref="B10:B11"/>
  </mergeCells>
  <phoneticPr fontId="2" type="noConversion"/>
  <pageMargins left="0.75" right="0.75" top="1.1299999999999999" bottom="1" header="0.5" footer="0.5"/>
  <pageSetup paperSize="9" scale="86" orientation="landscape" horizontalDpi="4294967293" r:id="rId1"/>
  <headerFooter alignWithMargins="0"/>
  <rowBreaks count="1" manualBreakCount="1">
    <brk id="13" max="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3" enableFormatConditionsCalculation="0">
    <tabColor indexed="42"/>
  </sheetPr>
  <dimension ref="A1:R20"/>
  <sheetViews>
    <sheetView view="pageBreakPreview" zoomScale="85" zoomScaleNormal="115" zoomScaleSheetLayoutView="100" workbookViewId="0">
      <selection activeCell="J4" sqref="J4"/>
    </sheetView>
  </sheetViews>
  <sheetFormatPr defaultRowHeight="12" customHeight="1"/>
  <cols>
    <col min="1" max="1" width="5" style="128" customWidth="1"/>
    <col min="2" max="2" width="26.6640625" style="146" customWidth="1"/>
    <col min="3" max="3" width="24.21875" style="146" customWidth="1"/>
    <col min="4" max="4" width="15.33203125" style="146" customWidth="1"/>
    <col min="5" max="6" width="10.77734375" style="146" customWidth="1"/>
    <col min="7" max="7" width="8.6640625" style="142" customWidth="1"/>
    <col min="8" max="8" width="11.33203125" style="136" customWidth="1"/>
    <col min="9" max="9" width="7.33203125" style="136" customWidth="1"/>
    <col min="10" max="10" width="8.6640625" style="136" customWidth="1"/>
    <col min="11" max="11" width="10.77734375" style="136" customWidth="1"/>
    <col min="12" max="12" width="7.77734375" style="136" customWidth="1"/>
    <col min="13" max="13" width="7.77734375" style="131" customWidth="1"/>
    <col min="14" max="14" width="6.109375" style="128" customWidth="1"/>
    <col min="15" max="15" width="1.44140625" style="128" customWidth="1"/>
    <col min="16" max="16" width="0" style="128" hidden="1" customWidth="1"/>
    <col min="17" max="16384" width="8.88671875" style="128"/>
  </cols>
  <sheetData>
    <row r="1" spans="1:18" s="207" customFormat="1" ht="30" customHeight="1" thickBot="1">
      <c r="A1" s="1026" t="s">
        <v>760</v>
      </c>
      <c r="B1" s="1026"/>
      <c r="C1" s="203" t="str">
        <f>참여업체!C6</f>
        <v>oo엔지니어링</v>
      </c>
      <c r="D1" s="204"/>
      <c r="E1" s="204"/>
      <c r="F1" s="204"/>
      <c r="G1" s="205"/>
      <c r="H1" s="206"/>
      <c r="I1" s="206"/>
      <c r="K1" s="206"/>
      <c r="L1" s="206"/>
      <c r="M1" s="208"/>
    </row>
    <row r="2" spans="1:18" s="182" customFormat="1" ht="28.5" customHeight="1">
      <c r="A2" s="948" t="s">
        <v>236</v>
      </c>
      <c r="B2" s="957" t="s">
        <v>60</v>
      </c>
      <c r="C2" s="959" t="s">
        <v>61</v>
      </c>
      <c r="D2" s="959" t="s">
        <v>62</v>
      </c>
      <c r="E2" s="976" t="s">
        <v>63</v>
      </c>
      <c r="F2" s="977"/>
      <c r="G2" s="955" t="s">
        <v>286</v>
      </c>
      <c r="H2" s="1030" t="s">
        <v>66</v>
      </c>
      <c r="I2" s="1034" t="s">
        <v>674</v>
      </c>
      <c r="J2" s="946" t="s">
        <v>84</v>
      </c>
      <c r="K2" s="946" t="s">
        <v>75</v>
      </c>
      <c r="L2" s="946" t="s">
        <v>672</v>
      </c>
      <c r="M2" s="946" t="s">
        <v>673</v>
      </c>
      <c r="N2" s="1032" t="s">
        <v>237</v>
      </c>
    </row>
    <row r="3" spans="1:18" s="182" customFormat="1" ht="30.75" customHeight="1">
      <c r="A3" s="949"/>
      <c r="B3" s="958"/>
      <c r="C3" s="960"/>
      <c r="D3" s="960"/>
      <c r="E3" s="183" t="s">
        <v>64</v>
      </c>
      <c r="F3" s="183" t="s">
        <v>65</v>
      </c>
      <c r="G3" s="956"/>
      <c r="H3" s="1031"/>
      <c r="I3" s="1035"/>
      <c r="J3" s="947"/>
      <c r="K3" s="947"/>
      <c r="L3" s="947"/>
      <c r="M3" s="947"/>
      <c r="N3" s="1033"/>
      <c r="P3" s="182" t="s">
        <v>628</v>
      </c>
    </row>
    <row r="4" spans="1:18" s="186" customFormat="1" ht="258.75" customHeight="1">
      <c r="A4" s="684">
        <v>1</v>
      </c>
      <c r="B4" s="685" t="s">
        <v>534</v>
      </c>
      <c r="C4" s="685" t="s">
        <v>28</v>
      </c>
      <c r="D4" s="686" t="s">
        <v>533</v>
      </c>
      <c r="E4" s="664">
        <v>37972</v>
      </c>
      <c r="F4" s="664">
        <v>41264</v>
      </c>
      <c r="G4" s="663">
        <v>1938</v>
      </c>
      <c r="H4" s="687">
        <f>1938-68.8-554.9-16-584.3-31.4-120.2</f>
        <v>562.4000000000002</v>
      </c>
      <c r="I4" s="661">
        <v>0.5</v>
      </c>
      <c r="J4" s="688">
        <f>IF(G4-H4&lt;231,0,G4-H4)</f>
        <v>1375.6</v>
      </c>
      <c r="K4" s="688">
        <f t="shared" ref="K4:K9" si="0">J4*I4</f>
        <v>687.8</v>
      </c>
      <c r="L4" s="689">
        <f>(IF(J4&lt;배점기준!$E$69*100,0,IF(J4&lt;배점기준!$F$69*100,배점기준!$E$70,IF(J4&lt;배점기준!$G$69*100,배점기준!$F$70,배점기준!$G$70))))</f>
        <v>0.7</v>
      </c>
      <c r="M4" s="690">
        <f t="shared" ref="M4:M9" si="1">I4*L4</f>
        <v>0.35</v>
      </c>
      <c r="N4" s="615"/>
      <c r="P4" s="616"/>
      <c r="Q4" s="575"/>
    </row>
    <row r="5" spans="1:18" s="186" customFormat="1" ht="256.5" customHeight="1">
      <c r="A5" s="684">
        <f>A4+1</f>
        <v>2</v>
      </c>
      <c r="B5" s="685" t="s">
        <v>29</v>
      </c>
      <c r="C5" s="685" t="s">
        <v>457</v>
      </c>
      <c r="D5" s="686" t="s">
        <v>531</v>
      </c>
      <c r="E5" s="664">
        <v>38114</v>
      </c>
      <c r="F5" s="664">
        <v>40543</v>
      </c>
      <c r="G5" s="663">
        <v>2168</v>
      </c>
      <c r="H5" s="687">
        <f>2168-158.4-38.3-886.8</f>
        <v>1084.5</v>
      </c>
      <c r="I5" s="661">
        <v>0.4</v>
      </c>
      <c r="J5" s="688">
        <f t="shared" ref="J5:J9" si="2">IF(G5-H5&lt;231,0,G5-H5)</f>
        <v>1083.5</v>
      </c>
      <c r="K5" s="688">
        <f t="shared" si="0"/>
        <v>433.40000000000003</v>
      </c>
      <c r="L5" s="689">
        <f>(IF(J5&lt;배점기준!$E$69*100,0,IF(J5&lt;배점기준!$F$69*100,배점기준!$E$70,IF(J5&lt;배점기준!$G$69*100,배점기준!$F$70,배점기준!$G$70))))</f>
        <v>0.7</v>
      </c>
      <c r="M5" s="690">
        <f t="shared" si="1"/>
        <v>0.27999999999999997</v>
      </c>
      <c r="N5" s="615"/>
      <c r="P5" s="616"/>
      <c r="Q5" s="575"/>
    </row>
    <row r="6" spans="1:18" s="186" customFormat="1" ht="300" customHeight="1">
      <c r="A6" s="684">
        <f>A5+1</f>
        <v>3</v>
      </c>
      <c r="B6" s="685" t="s">
        <v>615</v>
      </c>
      <c r="C6" s="685" t="s">
        <v>458</v>
      </c>
      <c r="D6" s="686" t="s">
        <v>616</v>
      </c>
      <c r="E6" s="664">
        <v>38168</v>
      </c>
      <c r="F6" s="664">
        <v>41639</v>
      </c>
      <c r="G6" s="663">
        <v>2216</v>
      </c>
      <c r="H6" s="687">
        <f>2216-96.9-439.6-607.5-65.5-163.5-37.4-159.3-58.9</f>
        <v>587.4</v>
      </c>
      <c r="I6" s="661">
        <v>0.48</v>
      </c>
      <c r="J6" s="688">
        <f t="shared" si="2"/>
        <v>1628.6</v>
      </c>
      <c r="K6" s="688">
        <f t="shared" si="0"/>
        <v>781.72799999999995</v>
      </c>
      <c r="L6" s="689">
        <f>(IF(J6&lt;배점기준!$E$69*100,0,IF(J6&lt;배점기준!$F$69*100,배점기준!$E$70,IF(J6&lt;배점기준!$G$69*100,배점기준!$F$70,배점기준!$G$70))))</f>
        <v>1</v>
      </c>
      <c r="M6" s="690">
        <f t="shared" si="1"/>
        <v>0.48</v>
      </c>
      <c r="N6" s="615"/>
      <c r="P6" s="616"/>
      <c r="Q6" s="575"/>
    </row>
    <row r="7" spans="1:18" s="186" customFormat="1" ht="219.75" customHeight="1">
      <c r="A7" s="684">
        <f>A6+1</f>
        <v>4</v>
      </c>
      <c r="B7" s="685" t="s">
        <v>459</v>
      </c>
      <c r="C7" s="685" t="s">
        <v>460</v>
      </c>
      <c r="D7" s="686" t="s">
        <v>759</v>
      </c>
      <c r="E7" s="664">
        <v>38310</v>
      </c>
      <c r="F7" s="664">
        <v>41661</v>
      </c>
      <c r="G7" s="663">
        <v>11293</v>
      </c>
      <c r="H7" s="687">
        <f>11293-1331.9-6192.9-119.7-198.6</f>
        <v>3449.900000000001</v>
      </c>
      <c r="I7" s="661">
        <v>0.4</v>
      </c>
      <c r="J7" s="688">
        <f t="shared" si="2"/>
        <v>7843.0999999999985</v>
      </c>
      <c r="K7" s="688">
        <f t="shared" si="0"/>
        <v>3137.24</v>
      </c>
      <c r="L7" s="689">
        <f>(IF(J7&lt;배점기준!$E$69*100,0,IF(J7&lt;배점기준!$F$69*100,배점기준!$E$70,IF(J7&lt;배점기준!$G$69*100,배점기준!$F$70,배점기준!$G$70))))</f>
        <v>1.3</v>
      </c>
      <c r="M7" s="690">
        <f t="shared" si="1"/>
        <v>0.52</v>
      </c>
      <c r="N7" s="615"/>
      <c r="P7" s="616"/>
      <c r="Q7" s="575"/>
    </row>
    <row r="8" spans="1:18" s="186" customFormat="1" ht="179.25" customHeight="1">
      <c r="A8" s="684">
        <f>A7+1</f>
        <v>5</v>
      </c>
      <c r="B8" s="685" t="s">
        <v>535</v>
      </c>
      <c r="C8" s="685" t="s">
        <v>461</v>
      </c>
      <c r="D8" s="686" t="s">
        <v>536</v>
      </c>
      <c r="E8" s="664">
        <v>38425</v>
      </c>
      <c r="F8" s="664">
        <v>40899</v>
      </c>
      <c r="G8" s="663">
        <v>9891</v>
      </c>
      <c r="H8" s="687">
        <f>9891-582.8-345-155.6-7329.8-190.7</f>
        <v>1287.1000000000001</v>
      </c>
      <c r="I8" s="661">
        <v>0.4</v>
      </c>
      <c r="J8" s="688">
        <f t="shared" si="2"/>
        <v>8603.9</v>
      </c>
      <c r="K8" s="688">
        <f t="shared" si="0"/>
        <v>3441.56</v>
      </c>
      <c r="L8" s="689">
        <f>(IF(J8&lt;배점기준!$E$69*100,0,IF(J8&lt;배점기준!$F$69*100,배점기준!$E$70,IF(J8&lt;배점기준!$G$69*100,배점기준!$F$70,배점기준!$G$70))))</f>
        <v>1.3</v>
      </c>
      <c r="M8" s="690">
        <f t="shared" si="1"/>
        <v>0.52</v>
      </c>
      <c r="N8" s="615"/>
      <c r="P8" s="616"/>
      <c r="Q8" s="575"/>
    </row>
    <row r="9" spans="1:18" s="186" customFormat="1" ht="117.75" customHeight="1" thickBot="1">
      <c r="A9" s="684">
        <f>A8+1</f>
        <v>6</v>
      </c>
      <c r="B9" s="685" t="s">
        <v>462</v>
      </c>
      <c r="C9" s="685" t="s">
        <v>463</v>
      </c>
      <c r="D9" s="686" t="s">
        <v>759</v>
      </c>
      <c r="E9" s="664">
        <v>38448</v>
      </c>
      <c r="F9" s="664">
        <v>41639</v>
      </c>
      <c r="G9" s="663">
        <v>1690</v>
      </c>
      <c r="H9" s="687">
        <v>641.4</v>
      </c>
      <c r="I9" s="661">
        <v>0.6</v>
      </c>
      <c r="J9" s="688">
        <f t="shared" si="2"/>
        <v>1048.5999999999999</v>
      </c>
      <c r="K9" s="688">
        <f t="shared" si="0"/>
        <v>629.16</v>
      </c>
      <c r="L9" s="689">
        <f>(IF(J9&lt;배점기준!$E$69*100,0,IF(J9&lt;배점기준!$F$69*100,배점기준!$E$70,IF(J9&lt;배점기준!$G$69*100,배점기준!$F$70,배점기준!$G$70))))</f>
        <v>0.7</v>
      </c>
      <c r="M9" s="690">
        <f t="shared" si="1"/>
        <v>0.42</v>
      </c>
      <c r="N9" s="615"/>
      <c r="P9" s="616"/>
      <c r="Q9" s="575"/>
    </row>
    <row r="10" spans="1:18" s="186" customFormat="1" ht="35.1" customHeight="1" thickBot="1">
      <c r="A10" s="1027" t="s">
        <v>76</v>
      </c>
      <c r="B10" s="1028"/>
      <c r="C10" s="1028"/>
      <c r="D10" s="1028"/>
      <c r="E10" s="1028"/>
      <c r="F10" s="1028"/>
      <c r="G10" s="1028"/>
      <c r="H10" s="1028"/>
      <c r="I10" s="1029"/>
      <c r="J10" s="540"/>
      <c r="K10" s="541">
        <f>SUM(K4:K9)</f>
        <v>9110.887999999999</v>
      </c>
      <c r="L10" s="691"/>
      <c r="M10" s="543">
        <f>SUM(M4:M9)</f>
        <v>2.57</v>
      </c>
      <c r="N10" s="544"/>
    </row>
    <row r="11" spans="1:18" ht="15.75" customHeight="1">
      <c r="A11" s="156"/>
      <c r="B11" s="167"/>
      <c r="C11" s="167"/>
      <c r="D11" s="167"/>
      <c r="E11" s="167"/>
      <c r="F11" s="167"/>
      <c r="G11" s="168"/>
      <c r="H11" s="157"/>
      <c r="I11" s="157"/>
      <c r="J11" s="169"/>
      <c r="K11" s="169"/>
      <c r="L11" s="170"/>
      <c r="M11" s="171"/>
    </row>
    <row r="12" spans="1:18" s="197" customFormat="1" ht="15" customHeight="1">
      <c r="A12" s="159" t="s">
        <v>339</v>
      </c>
      <c r="B12" s="160" t="s">
        <v>340</v>
      </c>
      <c r="C12" s="160"/>
      <c r="D12" s="160"/>
      <c r="E12" s="160"/>
      <c r="F12" s="160"/>
      <c r="G12" s="209"/>
      <c r="H12" s="198"/>
      <c r="I12" s="198"/>
      <c r="J12" s="198"/>
      <c r="K12" s="198"/>
      <c r="L12" s="210"/>
      <c r="M12" s="200"/>
      <c r="N12" s="200"/>
      <c r="P12" s="161"/>
      <c r="Q12" s="161"/>
    </row>
    <row r="13" spans="1:18" s="197" customFormat="1" ht="20.25" customHeight="1">
      <c r="A13" s="249" t="s">
        <v>68</v>
      </c>
      <c r="B13" s="160" t="s">
        <v>71</v>
      </c>
      <c r="C13" s="448"/>
      <c r="D13" s="448"/>
      <c r="E13" s="448"/>
      <c r="F13" s="448"/>
      <c r="G13" s="211"/>
      <c r="H13" s="199"/>
      <c r="I13" s="199"/>
      <c r="J13" s="199"/>
      <c r="K13" s="645"/>
      <c r="L13" s="199"/>
      <c r="M13" s="200"/>
      <c r="R13" s="161"/>
    </row>
    <row r="14" spans="1:18" s="161" customFormat="1" ht="55.5" customHeight="1">
      <c r="A14" s="522" t="s">
        <v>426</v>
      </c>
      <c r="B14" s="950" t="s">
        <v>422</v>
      </c>
      <c r="C14" s="950"/>
      <c r="D14" s="950"/>
      <c r="E14" s="950"/>
      <c r="F14" s="950"/>
      <c r="G14" s="950"/>
      <c r="H14" s="950"/>
      <c r="I14" s="950"/>
      <c r="J14" s="950"/>
      <c r="K14" s="950"/>
      <c r="L14" s="162"/>
      <c r="M14" s="162"/>
    </row>
    <row r="15" spans="1:18" s="161" customFormat="1" ht="18.75" customHeight="1">
      <c r="A15" s="522" t="s">
        <v>427</v>
      </c>
      <c r="B15" s="160" t="s">
        <v>421</v>
      </c>
      <c r="C15" s="160"/>
      <c r="D15" s="160"/>
      <c r="E15" s="160"/>
      <c r="F15" s="160"/>
      <c r="G15" s="160"/>
      <c r="I15" s="324"/>
      <c r="J15" s="162"/>
      <c r="K15" s="162"/>
      <c r="L15" s="162"/>
      <c r="M15" s="162"/>
    </row>
    <row r="16" spans="1:18" s="161" customFormat="1" ht="18.75" customHeight="1">
      <c r="A16" s="249" t="s">
        <v>423</v>
      </c>
      <c r="B16" s="160" t="s">
        <v>72</v>
      </c>
      <c r="C16" s="160"/>
      <c r="D16" s="160"/>
      <c r="E16" s="160"/>
      <c r="F16" s="160"/>
      <c r="G16" s="160"/>
      <c r="I16" s="162"/>
      <c r="J16" s="162"/>
      <c r="K16" s="162"/>
      <c r="L16" s="162"/>
      <c r="M16" s="162"/>
      <c r="N16" s="162"/>
      <c r="O16" s="162"/>
    </row>
    <row r="17" spans="1:13" s="197" customFormat="1" ht="12" customHeight="1">
      <c r="A17" s="249" t="s">
        <v>424</v>
      </c>
      <c r="B17" s="160" t="s">
        <v>73</v>
      </c>
      <c r="C17" s="160"/>
      <c r="D17" s="160"/>
      <c r="E17" s="160"/>
      <c r="F17" s="160"/>
      <c r="G17" s="211"/>
      <c r="H17" s="199"/>
      <c r="I17" s="199"/>
      <c r="J17" s="199"/>
      <c r="K17" s="199"/>
      <c r="L17" s="199"/>
      <c r="M17" s="200"/>
    </row>
    <row r="18" spans="1:13" s="197" customFormat="1" ht="15" customHeight="1">
      <c r="A18" s="249" t="s">
        <v>425</v>
      </c>
      <c r="B18" s="166" t="s">
        <v>74</v>
      </c>
      <c r="C18" s="166"/>
      <c r="D18" s="166"/>
      <c r="E18" s="166"/>
      <c r="F18" s="166"/>
      <c r="G18" s="211"/>
      <c r="H18" s="199"/>
      <c r="I18" s="199"/>
      <c r="J18" s="199"/>
      <c r="K18" s="199"/>
      <c r="L18" s="199"/>
      <c r="M18" s="200"/>
    </row>
    <row r="19" spans="1:13" s="197" customFormat="1" ht="15" customHeight="1">
      <c r="B19" s="146"/>
      <c r="C19" s="198"/>
      <c r="D19" s="198"/>
      <c r="E19" s="198"/>
      <c r="F19" s="198"/>
      <c r="G19" s="211"/>
      <c r="H19" s="199"/>
      <c r="I19" s="199"/>
      <c r="J19" s="199"/>
      <c r="K19" s="199"/>
      <c r="L19" s="199"/>
      <c r="M19" s="200"/>
    </row>
    <row r="20" spans="1:13" ht="15" customHeight="1"/>
  </sheetData>
  <mergeCells count="16">
    <mergeCell ref="B14:K14"/>
    <mergeCell ref="N2:N3"/>
    <mergeCell ref="L2:L3"/>
    <mergeCell ref="M2:M3"/>
    <mergeCell ref="E2:F2"/>
    <mergeCell ref="G2:G3"/>
    <mergeCell ref="J2:J3"/>
    <mergeCell ref="K2:K3"/>
    <mergeCell ref="I2:I3"/>
    <mergeCell ref="A1:B1"/>
    <mergeCell ref="A2:A3"/>
    <mergeCell ref="B2:B3"/>
    <mergeCell ref="A10:I10"/>
    <mergeCell ref="D2:D3"/>
    <mergeCell ref="C2:C3"/>
    <mergeCell ref="H2:H3"/>
  </mergeCells>
  <phoneticPr fontId="23" type="noConversion"/>
  <pageMargins left="0.74803149606299213" right="0.74803149606299213" top="0.97" bottom="0.75" header="0.51181102362204722" footer="0.51181102362204722"/>
  <pageSetup paperSize="9" scale="70" fitToHeight="3" orientation="landscape" r:id="rId1"/>
  <headerFooter alignWithMargins="0"/>
  <legacyDrawingHF r:id="rId2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indexed="42"/>
  </sheetPr>
  <dimension ref="A1:O16"/>
  <sheetViews>
    <sheetView view="pageBreakPreview" zoomScale="85" zoomScaleNormal="115" zoomScaleSheetLayoutView="85" workbookViewId="0">
      <selection activeCell="K15" sqref="K15"/>
    </sheetView>
  </sheetViews>
  <sheetFormatPr defaultRowHeight="12" customHeight="1"/>
  <cols>
    <col min="1" max="1" width="3.77734375" style="128" customWidth="1"/>
    <col min="2" max="2" width="44.109375" style="146" customWidth="1"/>
    <col min="3" max="3" width="37.88671875" style="146" customWidth="1"/>
    <col min="4" max="4" width="15.44140625" style="146" customWidth="1"/>
    <col min="5" max="6" width="10.77734375" style="146" customWidth="1"/>
    <col min="7" max="7" width="7.77734375" style="142" customWidth="1"/>
    <col min="8" max="8" width="10.33203125" style="136" customWidth="1"/>
    <col min="9" max="9" width="4.6640625" style="136" customWidth="1"/>
    <col min="10" max="10" width="7.77734375" style="136" customWidth="1"/>
    <col min="11" max="11" width="10.21875" style="136" bestFit="1" customWidth="1"/>
    <col min="12" max="12" width="7.77734375" style="136" customWidth="1"/>
    <col min="13" max="13" width="7.77734375" style="131" customWidth="1"/>
    <col min="14" max="14" width="7.77734375" style="128" customWidth="1"/>
    <col min="15" max="15" width="1.44140625" style="128" customWidth="1"/>
    <col min="16" max="16384" width="8.88671875" style="128"/>
  </cols>
  <sheetData>
    <row r="1" spans="1:15" s="207" customFormat="1" ht="30" customHeight="1" thickBot="1">
      <c r="A1" s="1036" t="s">
        <v>699</v>
      </c>
      <c r="B1" s="1036"/>
      <c r="C1" s="603" t="str">
        <f>참여업체!D6</f>
        <v>＊＊엔지니어링</v>
      </c>
      <c r="D1" s="204"/>
      <c r="E1" s="204"/>
      <c r="F1" s="204"/>
      <c r="G1" s="205"/>
      <c r="H1" s="206"/>
      <c r="I1" s="206"/>
      <c r="K1" s="206"/>
      <c r="L1" s="206"/>
      <c r="M1" s="208"/>
    </row>
    <row r="2" spans="1:15" s="182" customFormat="1" ht="36.75" customHeight="1">
      <c r="A2" s="948" t="s">
        <v>693</v>
      </c>
      <c r="B2" s="957" t="s">
        <v>694</v>
      </c>
      <c r="C2" s="959" t="s">
        <v>695</v>
      </c>
      <c r="D2" s="959" t="s">
        <v>696</v>
      </c>
      <c r="E2" s="976" t="s">
        <v>700</v>
      </c>
      <c r="F2" s="977"/>
      <c r="G2" s="955" t="s">
        <v>701</v>
      </c>
      <c r="H2" s="1030" t="s">
        <v>702</v>
      </c>
      <c r="I2" s="1034" t="s">
        <v>703</v>
      </c>
      <c r="J2" s="946" t="s">
        <v>704</v>
      </c>
      <c r="K2" s="946" t="s">
        <v>705</v>
      </c>
      <c r="L2" s="946" t="s">
        <v>706</v>
      </c>
      <c r="M2" s="946" t="s">
        <v>707</v>
      </c>
      <c r="N2" s="1032" t="s">
        <v>697</v>
      </c>
    </row>
    <row r="3" spans="1:15" s="182" customFormat="1" ht="34.5" customHeight="1">
      <c r="A3" s="949"/>
      <c r="B3" s="958"/>
      <c r="C3" s="960"/>
      <c r="D3" s="960"/>
      <c r="E3" s="183" t="s">
        <v>708</v>
      </c>
      <c r="F3" s="183" t="s">
        <v>698</v>
      </c>
      <c r="G3" s="956"/>
      <c r="H3" s="1031"/>
      <c r="I3" s="1035"/>
      <c r="J3" s="947"/>
      <c r="K3" s="947"/>
      <c r="L3" s="947"/>
      <c r="M3" s="947"/>
      <c r="N3" s="1033"/>
    </row>
    <row r="4" spans="1:15" s="186" customFormat="1" ht="39.950000000000003" customHeight="1">
      <c r="A4" s="191">
        <v>1</v>
      </c>
      <c r="B4" s="192" t="s">
        <v>469</v>
      </c>
      <c r="C4" s="192" t="s">
        <v>470</v>
      </c>
      <c r="D4" s="201" t="s">
        <v>471</v>
      </c>
      <c r="E4" s="525">
        <v>38425</v>
      </c>
      <c r="F4" s="525">
        <v>40899</v>
      </c>
      <c r="G4" s="193">
        <v>9891</v>
      </c>
      <c r="H4" s="193">
        <v>1287</v>
      </c>
      <c r="I4" s="201">
        <v>0.3</v>
      </c>
      <c r="J4" s="194">
        <f>IF(G4-H4&lt;231,0,G4-H4)</f>
        <v>8604</v>
      </c>
      <c r="K4" s="194">
        <f>J4*I4</f>
        <v>2581.1999999999998</v>
      </c>
      <c r="L4" s="185">
        <f>(IF(J4&lt;배점기준!$E$69*100,0,IF(J4&lt;배점기준!$F$69*100,배점기준!$E$70,IF(J4&lt;배점기준!$G$69*100,배점기준!$F$70,배점기준!$G$70))))</f>
        <v>1.3</v>
      </c>
      <c r="M4" s="202">
        <f>I4*L4</f>
        <v>0.39</v>
      </c>
      <c r="N4" s="615"/>
    </row>
    <row r="5" spans="1:15" s="188" customFormat="1" ht="39.950000000000003" customHeight="1">
      <c r="A5" s="191">
        <v>2</v>
      </c>
      <c r="B5" s="192" t="s">
        <v>472</v>
      </c>
      <c r="C5" s="192" t="s">
        <v>473</v>
      </c>
      <c r="D5" s="201" t="s">
        <v>474</v>
      </c>
      <c r="E5" s="525">
        <v>38511</v>
      </c>
      <c r="F5" s="525">
        <v>41897</v>
      </c>
      <c r="G5" s="193">
        <v>7515</v>
      </c>
      <c r="H5" s="193">
        <v>1193</v>
      </c>
      <c r="I5" s="201">
        <v>0.3</v>
      </c>
      <c r="J5" s="194">
        <f>IF(G5-H5&lt;231,0,G5-H5)</f>
        <v>6322</v>
      </c>
      <c r="K5" s="194">
        <f>J5*I5</f>
        <v>1896.6</v>
      </c>
      <c r="L5" s="185">
        <f>(IF(J5&lt;배점기준!$E$69*100,0,IF(J5&lt;배점기준!$F$69*100,배점기준!$E$70,IF(J5&lt;배점기준!$G$69*100,배점기준!$F$70,배점기준!$G$70))))</f>
        <v>1.3</v>
      </c>
      <c r="M5" s="202">
        <f>I5*L5</f>
        <v>0.39</v>
      </c>
      <c r="N5" s="615"/>
    </row>
    <row r="6" spans="1:15" s="188" customFormat="1" ht="39.950000000000003" customHeight="1">
      <c r="A6" s="191">
        <v>3</v>
      </c>
      <c r="B6" s="192" t="s">
        <v>475</v>
      </c>
      <c r="C6" s="192" t="s">
        <v>476</v>
      </c>
      <c r="D6" s="201" t="s">
        <v>477</v>
      </c>
      <c r="E6" s="525">
        <v>38551</v>
      </c>
      <c r="F6" s="525">
        <v>40543</v>
      </c>
      <c r="G6" s="193">
        <v>10961</v>
      </c>
      <c r="H6" s="193">
        <v>2848</v>
      </c>
      <c r="I6" s="201">
        <v>0.3</v>
      </c>
      <c r="J6" s="194">
        <f>IF(G6-H6&lt;231,0,G6-H6)</f>
        <v>8113</v>
      </c>
      <c r="K6" s="194">
        <f>J6*I6</f>
        <v>2433.9</v>
      </c>
      <c r="L6" s="185">
        <f>(IF(J6&lt;배점기준!$E$69*100,0,IF(J6&lt;배점기준!$F$69*100,배점기준!$E$70,IF(J6&lt;배점기준!$G$69*100,배점기준!$F$70,배점기준!$G$70))))</f>
        <v>1.3</v>
      </c>
      <c r="M6" s="202">
        <f>I6*L6</f>
        <v>0.39</v>
      </c>
      <c r="N6" s="615"/>
    </row>
    <row r="7" spans="1:15" s="188" customFormat="1" ht="39.950000000000003" customHeight="1" thickBot="1">
      <c r="A7" s="191">
        <v>4</v>
      </c>
      <c r="B7" s="192" t="s">
        <v>478</v>
      </c>
      <c r="C7" s="192" t="s">
        <v>479</v>
      </c>
      <c r="D7" s="201" t="s">
        <v>596</v>
      </c>
      <c r="E7" s="525">
        <v>38975</v>
      </c>
      <c r="F7" s="525">
        <v>40543</v>
      </c>
      <c r="G7" s="193">
        <v>1627</v>
      </c>
      <c r="H7" s="193">
        <v>366</v>
      </c>
      <c r="I7" s="201">
        <v>0.4</v>
      </c>
      <c r="J7" s="194">
        <f>IF(G7-H7&lt;231,0,G7-H7)</f>
        <v>1261</v>
      </c>
      <c r="K7" s="194">
        <f>J7*I7</f>
        <v>504.40000000000003</v>
      </c>
      <c r="L7" s="185">
        <f>(IF(J7&lt;배점기준!$E$69*100,0,IF(J7&lt;배점기준!$F$69*100,배점기준!$E$70,IF(J7&lt;배점기준!$G$69*100,배점기준!$F$70,배점기준!$G$70))))</f>
        <v>0.7</v>
      </c>
      <c r="M7" s="202">
        <f>I7*L7</f>
        <v>0.27999999999999997</v>
      </c>
      <c r="N7" s="615"/>
    </row>
    <row r="8" spans="1:15" s="186" customFormat="1" ht="35.1" customHeight="1" thickBot="1">
      <c r="A8" s="1027" t="s">
        <v>709</v>
      </c>
      <c r="B8" s="1028"/>
      <c r="C8" s="1028"/>
      <c r="D8" s="1028"/>
      <c r="E8" s="1028"/>
      <c r="F8" s="1028"/>
      <c r="G8" s="1028"/>
      <c r="H8" s="1028"/>
      <c r="I8" s="1029"/>
      <c r="J8" s="540"/>
      <c r="K8" s="541">
        <f>SUM(K4:K7)</f>
        <v>7416.0999999999985</v>
      </c>
      <c r="L8" s="691"/>
      <c r="M8" s="543">
        <f>SUM(M4:M7)</f>
        <v>1.45</v>
      </c>
      <c r="N8" s="544"/>
    </row>
    <row r="9" spans="1:15" ht="15.75" customHeight="1">
      <c r="A9" s="156"/>
      <c r="B9" s="167"/>
      <c r="C9" s="167"/>
      <c r="D9" s="167"/>
      <c r="E9" s="167"/>
      <c r="F9" s="167"/>
      <c r="G9" s="168"/>
      <c r="H9" s="157"/>
      <c r="I9" s="157"/>
      <c r="J9" s="169"/>
      <c r="K9" s="169"/>
      <c r="L9" s="170"/>
      <c r="M9" s="171"/>
    </row>
    <row r="10" spans="1:15" s="197" customFormat="1" ht="15" customHeight="1">
      <c r="A10" s="159" t="s">
        <v>710</v>
      </c>
      <c r="B10" s="160" t="s">
        <v>711</v>
      </c>
      <c r="C10" s="160"/>
      <c r="D10" s="160"/>
      <c r="E10" s="160"/>
      <c r="F10" s="160"/>
      <c r="G10" s="209"/>
      <c r="H10" s="198"/>
      <c r="I10" s="198"/>
      <c r="J10" s="198"/>
      <c r="K10" s="198"/>
      <c r="L10" s="210"/>
      <c r="M10" s="200"/>
    </row>
    <row r="11" spans="1:15" s="197" customFormat="1" ht="20.25" customHeight="1">
      <c r="A11" s="249" t="s">
        <v>712</v>
      </c>
      <c r="B11" s="160" t="s">
        <v>713</v>
      </c>
      <c r="C11" s="448"/>
      <c r="D11" s="448"/>
      <c r="E11" s="448"/>
      <c r="F11" s="448"/>
      <c r="G11" s="211"/>
      <c r="H11" s="199"/>
      <c r="I11" s="199"/>
      <c r="J11" s="199"/>
      <c r="K11" s="199"/>
      <c r="L11" s="199"/>
      <c r="M11" s="200"/>
    </row>
    <row r="12" spans="1:15" s="161" customFormat="1" ht="18.75" customHeight="1">
      <c r="A12" s="249" t="s">
        <v>714</v>
      </c>
      <c r="B12" s="160" t="s">
        <v>715</v>
      </c>
      <c r="C12" s="160"/>
      <c r="D12" s="160"/>
      <c r="E12" s="160"/>
      <c r="F12" s="160"/>
      <c r="G12" s="160"/>
      <c r="I12" s="162"/>
      <c r="J12" s="162"/>
      <c r="K12" s="162"/>
      <c r="L12" s="162"/>
      <c r="M12" s="162"/>
      <c r="N12" s="162"/>
      <c r="O12" s="162"/>
    </row>
    <row r="13" spans="1:15" s="197" customFormat="1" ht="12" customHeight="1">
      <c r="A13" s="249" t="s">
        <v>716</v>
      </c>
      <c r="B13" s="160" t="s">
        <v>717</v>
      </c>
      <c r="C13" s="160"/>
      <c r="D13" s="160"/>
      <c r="E13" s="160"/>
      <c r="F13" s="160"/>
      <c r="G13" s="211"/>
      <c r="H13" s="199"/>
      <c r="I13" s="199"/>
      <c r="J13" s="199"/>
      <c r="K13" s="199"/>
      <c r="L13" s="199"/>
      <c r="M13" s="200"/>
    </row>
    <row r="14" spans="1:15" s="197" customFormat="1" ht="15" customHeight="1">
      <c r="A14" s="249" t="s">
        <v>718</v>
      </c>
      <c r="B14" s="166" t="s">
        <v>719</v>
      </c>
      <c r="C14" s="166"/>
      <c r="D14" s="166"/>
      <c r="E14" s="166"/>
      <c r="F14" s="166"/>
      <c r="G14" s="211"/>
      <c r="H14" s="199"/>
      <c r="I14" s="199"/>
      <c r="J14" s="199"/>
      <c r="K14" s="199"/>
      <c r="L14" s="199"/>
      <c r="M14" s="200"/>
    </row>
    <row r="15" spans="1:15" s="197" customFormat="1" ht="15" customHeight="1">
      <c r="B15" s="146"/>
      <c r="C15" s="198"/>
      <c r="D15" s="198"/>
      <c r="E15" s="198"/>
      <c r="F15" s="198"/>
      <c r="G15" s="211"/>
      <c r="H15" s="199"/>
      <c r="I15" s="199"/>
      <c r="J15" s="199"/>
      <c r="K15" s="199"/>
      <c r="L15" s="199"/>
      <c r="M15" s="200"/>
    </row>
    <row r="16" spans="1:15" ht="15" customHeight="1"/>
  </sheetData>
  <mergeCells count="15">
    <mergeCell ref="N2:N3"/>
    <mergeCell ref="A8:I8"/>
    <mergeCell ref="G2:G3"/>
    <mergeCell ref="H2:H3"/>
    <mergeCell ref="I2:I3"/>
    <mergeCell ref="J2:J3"/>
    <mergeCell ref="K2:K3"/>
    <mergeCell ref="L2:L3"/>
    <mergeCell ref="E2:F2"/>
    <mergeCell ref="D2:D3"/>
    <mergeCell ref="A1:B1"/>
    <mergeCell ref="A2:A3"/>
    <mergeCell ref="B2:B3"/>
    <mergeCell ref="C2:C3"/>
    <mergeCell ref="M2:M3"/>
  </mergeCells>
  <phoneticPr fontId="2" type="noConversion"/>
  <pageMargins left="0.74803149606299213" right="0.74803149606299213" top="0.78740157480314965" bottom="0.78740157480314965" header="0.51181102362204722" footer="0.51181102362204722"/>
  <pageSetup paperSize="9" scale="59" fitToHeight="3" orientation="landscape" r:id="rId1"/>
  <headerFooter alignWithMargins="0"/>
  <legacyDrawingHF r:id="rId2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indexed="42"/>
  </sheetPr>
  <dimension ref="A1:R20"/>
  <sheetViews>
    <sheetView view="pageBreakPreview" topLeftCell="A4" zoomScaleNormal="115" zoomScaleSheetLayoutView="100" workbookViewId="0">
      <selection activeCell="A10" sqref="A10:XFD38"/>
    </sheetView>
  </sheetViews>
  <sheetFormatPr defaultRowHeight="12" customHeight="1"/>
  <cols>
    <col min="1" max="1" width="5" style="128" customWidth="1"/>
    <col min="2" max="2" width="26.6640625" style="146" customWidth="1"/>
    <col min="3" max="3" width="24.21875" style="146" customWidth="1"/>
    <col min="4" max="4" width="15.33203125" style="146" customWidth="1"/>
    <col min="5" max="6" width="10.77734375" style="146" customWidth="1"/>
    <col min="7" max="7" width="8.6640625" style="142" customWidth="1"/>
    <col min="8" max="8" width="11.33203125" style="136" customWidth="1"/>
    <col min="9" max="9" width="7.33203125" style="136" customWidth="1"/>
    <col min="10" max="11" width="8.6640625" style="136" customWidth="1"/>
    <col min="12" max="12" width="7.77734375" style="136" customWidth="1"/>
    <col min="13" max="13" width="7.77734375" style="131" customWidth="1"/>
    <col min="14" max="14" width="7.77734375" style="128" customWidth="1"/>
    <col min="15" max="15" width="1.44140625" style="128" customWidth="1"/>
    <col min="16" max="16" width="0" style="128" hidden="1" customWidth="1"/>
    <col min="17" max="16384" width="8.88671875" style="128"/>
  </cols>
  <sheetData>
    <row r="1" spans="1:18" s="207" customFormat="1" ht="30" customHeight="1" thickBot="1">
      <c r="A1" s="1026" t="s">
        <v>760</v>
      </c>
      <c r="B1" s="1026"/>
      <c r="C1" s="203" t="str">
        <f>참여업체!E6</f>
        <v>☆☆엔지니어링</v>
      </c>
      <c r="D1" s="204"/>
      <c r="E1" s="204"/>
      <c r="F1" s="204"/>
      <c r="G1" s="205"/>
      <c r="H1" s="206"/>
      <c r="I1" s="206"/>
      <c r="K1" s="206"/>
      <c r="L1" s="206"/>
      <c r="M1" s="208"/>
    </row>
    <row r="2" spans="1:18" s="182" customFormat="1" ht="28.5" customHeight="1">
      <c r="A2" s="948" t="s">
        <v>34</v>
      </c>
      <c r="B2" s="957" t="s">
        <v>60</v>
      </c>
      <c r="C2" s="959" t="s">
        <v>61</v>
      </c>
      <c r="D2" s="959" t="s">
        <v>62</v>
      </c>
      <c r="E2" s="976" t="s">
        <v>38</v>
      </c>
      <c r="F2" s="977"/>
      <c r="G2" s="955" t="s">
        <v>286</v>
      </c>
      <c r="H2" s="1030" t="s">
        <v>66</v>
      </c>
      <c r="I2" s="1034" t="s">
        <v>674</v>
      </c>
      <c r="J2" s="946" t="s">
        <v>84</v>
      </c>
      <c r="K2" s="946" t="s">
        <v>75</v>
      </c>
      <c r="L2" s="946" t="s">
        <v>672</v>
      </c>
      <c r="M2" s="946" t="s">
        <v>673</v>
      </c>
      <c r="N2" s="1032" t="s">
        <v>220</v>
      </c>
    </row>
    <row r="3" spans="1:18" s="182" customFormat="1" ht="30.75" customHeight="1">
      <c r="A3" s="949"/>
      <c r="B3" s="958"/>
      <c r="C3" s="960"/>
      <c r="D3" s="960"/>
      <c r="E3" s="183" t="s">
        <v>64</v>
      </c>
      <c r="F3" s="183" t="s">
        <v>65</v>
      </c>
      <c r="G3" s="956"/>
      <c r="H3" s="1031"/>
      <c r="I3" s="1035"/>
      <c r="J3" s="947"/>
      <c r="K3" s="947"/>
      <c r="L3" s="947"/>
      <c r="M3" s="947"/>
      <c r="N3" s="1033"/>
      <c r="P3" s="182" t="s">
        <v>628</v>
      </c>
    </row>
    <row r="4" spans="1:18" s="186" customFormat="1" ht="30" customHeight="1">
      <c r="A4" s="191">
        <v>1</v>
      </c>
      <c r="B4" s="529" t="s">
        <v>433</v>
      </c>
      <c r="C4" s="524" t="s">
        <v>757</v>
      </c>
      <c r="D4" s="530" t="s">
        <v>431</v>
      </c>
      <c r="E4" s="531">
        <v>39805</v>
      </c>
      <c r="F4" s="531">
        <v>40392</v>
      </c>
      <c r="G4" s="193">
        <v>593</v>
      </c>
      <c r="H4" s="532">
        <v>0</v>
      </c>
      <c r="I4" s="533">
        <v>0.7</v>
      </c>
      <c r="J4" s="194">
        <f t="shared" ref="J4:J9" si="0">IF(G4-H4&lt;230,0,G4-H4)</f>
        <v>593</v>
      </c>
      <c r="K4" s="194">
        <f t="shared" ref="K4:K9" si="1">J4*I4</f>
        <v>415.09999999999997</v>
      </c>
      <c r="L4" s="185">
        <f>(IF(J4&lt;배점기준!$E$69*100,0,IF(J4&lt;배점기준!$F$69*100,배점기준!$E$70,IF(J4&lt;배점기준!$G$69*100,배점기준!$F$70,배점기준!$G$70))))</f>
        <v>0.7</v>
      </c>
      <c r="M4" s="202">
        <f t="shared" ref="M4:M9" si="2">I4*L4</f>
        <v>0.48999999999999994</v>
      </c>
      <c r="N4" s="655"/>
      <c r="P4" s="616"/>
      <c r="Q4" s="575"/>
    </row>
    <row r="5" spans="1:18" s="188" customFormat="1" ht="30" customHeight="1">
      <c r="A5" s="191">
        <v>2</v>
      </c>
      <c r="B5" s="529" t="s">
        <v>505</v>
      </c>
      <c r="C5" s="524" t="s">
        <v>757</v>
      </c>
      <c r="D5" s="530" t="s">
        <v>670</v>
      </c>
      <c r="E5" s="531">
        <v>39734</v>
      </c>
      <c r="F5" s="531">
        <v>40421</v>
      </c>
      <c r="G5" s="193">
        <v>4668</v>
      </c>
      <c r="H5" s="532">
        <v>343</v>
      </c>
      <c r="I5" s="533">
        <v>0.28999999999999998</v>
      </c>
      <c r="J5" s="194">
        <f t="shared" si="0"/>
        <v>4325</v>
      </c>
      <c r="K5" s="194">
        <f t="shared" si="1"/>
        <v>1254.25</v>
      </c>
      <c r="L5" s="185">
        <f>(IF(J5&lt;배점기준!$E$69*100,0,IF(J5&lt;배점기준!$F$69*100,배점기준!$E$70,IF(J5&lt;배점기준!$G$69*100,배점기준!$F$70,배점기준!$G$70))))</f>
        <v>1.3</v>
      </c>
      <c r="M5" s="202">
        <f t="shared" si="2"/>
        <v>0.377</v>
      </c>
      <c r="N5" s="656"/>
      <c r="P5" s="616"/>
      <c r="Q5" s="575"/>
    </row>
    <row r="6" spans="1:18" s="188" customFormat="1" ht="30" customHeight="1">
      <c r="A6" s="191">
        <v>3</v>
      </c>
      <c r="B6" s="529" t="s">
        <v>506</v>
      </c>
      <c r="C6" s="524" t="s">
        <v>487</v>
      </c>
      <c r="D6" s="530" t="s">
        <v>670</v>
      </c>
      <c r="E6" s="531">
        <v>39987</v>
      </c>
      <c r="F6" s="531">
        <v>40532</v>
      </c>
      <c r="G6" s="193">
        <v>927</v>
      </c>
      <c r="H6" s="532">
        <v>0</v>
      </c>
      <c r="I6" s="533">
        <v>0.76</v>
      </c>
      <c r="J6" s="194">
        <f t="shared" si="0"/>
        <v>927</v>
      </c>
      <c r="K6" s="194">
        <f t="shared" si="1"/>
        <v>704.52</v>
      </c>
      <c r="L6" s="185">
        <f>(IF(J6&lt;배점기준!$E$69*100,0,IF(J6&lt;배점기준!$F$69*100,배점기준!$E$70,IF(J6&lt;배점기준!$G$69*100,배점기준!$F$70,배점기준!$G$70))))</f>
        <v>0.7</v>
      </c>
      <c r="M6" s="202">
        <f t="shared" si="2"/>
        <v>0.53199999999999992</v>
      </c>
      <c r="N6" s="656"/>
      <c r="P6" s="616"/>
      <c r="Q6" s="575"/>
    </row>
    <row r="7" spans="1:18" s="188" customFormat="1" ht="30" customHeight="1">
      <c r="A7" s="191">
        <v>4</v>
      </c>
      <c r="B7" s="529" t="s">
        <v>434</v>
      </c>
      <c r="C7" s="524" t="s">
        <v>758</v>
      </c>
      <c r="D7" s="530" t="s">
        <v>435</v>
      </c>
      <c r="E7" s="531">
        <v>40295</v>
      </c>
      <c r="F7" s="531">
        <v>40532</v>
      </c>
      <c r="G7" s="193">
        <v>349</v>
      </c>
      <c r="H7" s="532">
        <v>0</v>
      </c>
      <c r="I7" s="533">
        <v>0.7</v>
      </c>
      <c r="J7" s="194">
        <f t="shared" si="0"/>
        <v>349</v>
      </c>
      <c r="K7" s="194">
        <f t="shared" si="1"/>
        <v>244.29999999999998</v>
      </c>
      <c r="L7" s="185">
        <f>(IF(J7&lt;배점기준!$E$69*100,0,IF(J7&lt;배점기준!$F$69*100,배점기준!$E$70,IF(J7&lt;배점기준!$G$69*100,배점기준!$F$70,배점기준!$G$70))))</f>
        <v>0.7</v>
      </c>
      <c r="M7" s="202">
        <f t="shared" si="2"/>
        <v>0.48999999999999994</v>
      </c>
      <c r="N7" s="656"/>
      <c r="P7" s="616"/>
      <c r="Q7" s="575"/>
    </row>
    <row r="8" spans="1:18" s="188" customFormat="1" ht="42" customHeight="1">
      <c r="A8" s="191">
        <v>5</v>
      </c>
      <c r="B8" s="529" t="s">
        <v>507</v>
      </c>
      <c r="C8" s="524" t="s">
        <v>485</v>
      </c>
      <c r="D8" s="530" t="s">
        <v>486</v>
      </c>
      <c r="E8" s="531">
        <v>39680</v>
      </c>
      <c r="F8" s="531">
        <v>40542</v>
      </c>
      <c r="G8" s="193">
        <v>259</v>
      </c>
      <c r="H8" s="532">
        <v>0</v>
      </c>
      <c r="I8" s="533">
        <v>1</v>
      </c>
      <c r="J8" s="194">
        <f t="shared" si="0"/>
        <v>259</v>
      </c>
      <c r="K8" s="194">
        <f t="shared" si="1"/>
        <v>259</v>
      </c>
      <c r="L8" s="185">
        <f>(IF(J8&lt;배점기준!$E$69*100,0,IF(J8&lt;배점기준!$F$69*100,배점기준!$E$70,IF(J8&lt;배점기준!$G$69*100,배점기준!$F$70,배점기준!$G$70))))</f>
        <v>0.7</v>
      </c>
      <c r="M8" s="202">
        <f t="shared" si="2"/>
        <v>0.7</v>
      </c>
      <c r="N8" s="656"/>
      <c r="P8" s="616"/>
      <c r="Q8" s="575"/>
    </row>
    <row r="9" spans="1:18" s="188" customFormat="1" ht="30" customHeight="1" thickBot="1">
      <c r="A9" s="191">
        <v>6</v>
      </c>
      <c r="B9" s="529" t="s">
        <v>508</v>
      </c>
      <c r="C9" s="524" t="s">
        <v>757</v>
      </c>
      <c r="D9" s="530" t="s">
        <v>432</v>
      </c>
      <c r="E9" s="531">
        <v>38114</v>
      </c>
      <c r="F9" s="531">
        <v>40543</v>
      </c>
      <c r="G9" s="193">
        <v>2168</v>
      </c>
      <c r="H9" s="532">
        <f>47+23+256+138+51+45+88+19+28+124+266</f>
        <v>1085</v>
      </c>
      <c r="I9" s="533">
        <v>0.3</v>
      </c>
      <c r="J9" s="194">
        <f t="shared" si="0"/>
        <v>1083</v>
      </c>
      <c r="K9" s="194">
        <f t="shared" si="1"/>
        <v>324.89999999999998</v>
      </c>
      <c r="L9" s="185">
        <f>(IF(J9&lt;배점기준!$E$69*100,0,IF(J9&lt;배점기준!$F$69*100,배점기준!$E$70,IF(J9&lt;배점기준!$G$69*100,배점기준!$F$70,배점기준!$G$70))))</f>
        <v>0.7</v>
      </c>
      <c r="M9" s="202">
        <f t="shared" si="2"/>
        <v>0.21</v>
      </c>
      <c r="N9" s="656"/>
      <c r="P9" s="616"/>
      <c r="Q9" s="575"/>
    </row>
    <row r="10" spans="1:18" s="186" customFormat="1" ht="35.1" customHeight="1" thickBot="1">
      <c r="A10" s="1027" t="s">
        <v>76</v>
      </c>
      <c r="B10" s="1028"/>
      <c r="C10" s="1028"/>
      <c r="D10" s="1028"/>
      <c r="E10" s="1028"/>
      <c r="F10" s="1028"/>
      <c r="G10" s="1028"/>
      <c r="H10" s="1028"/>
      <c r="I10" s="1029"/>
      <c r="J10" s="540"/>
      <c r="K10" s="541">
        <f>SUM(K4:K9)</f>
        <v>3202.07</v>
      </c>
      <c r="L10" s="542"/>
      <c r="M10" s="543">
        <f>SUM(M4:M9)</f>
        <v>2.7989999999999999</v>
      </c>
      <c r="N10" s="544"/>
    </row>
    <row r="11" spans="1:18" ht="15.75" customHeight="1">
      <c r="A11" s="156"/>
      <c r="B11" s="167"/>
      <c r="C11" s="167"/>
      <c r="D11" s="167"/>
      <c r="E11" s="167"/>
      <c r="F11" s="167"/>
      <c r="G11" s="168"/>
      <c r="H11" s="157"/>
      <c r="I11" s="157"/>
      <c r="J11" s="169"/>
      <c r="K11" s="169"/>
      <c r="L11" s="170"/>
      <c r="M11" s="171"/>
    </row>
    <row r="12" spans="1:18" s="197" customFormat="1" ht="15" customHeight="1">
      <c r="A12" s="159" t="s">
        <v>339</v>
      </c>
      <c r="B12" s="160" t="s">
        <v>340</v>
      </c>
      <c r="C12" s="160"/>
      <c r="D12" s="160"/>
      <c r="E12" s="160"/>
      <c r="F12" s="160"/>
      <c r="G12" s="209"/>
      <c r="H12" s="198"/>
      <c r="I12" s="198"/>
      <c r="J12" s="198"/>
      <c r="K12" s="198"/>
      <c r="L12" s="210"/>
      <c r="M12" s="200"/>
      <c r="N12" s="200"/>
      <c r="P12" s="161"/>
      <c r="Q12" s="161"/>
    </row>
    <row r="13" spans="1:18" s="197" customFormat="1" ht="20.25" customHeight="1">
      <c r="A13" s="249" t="s">
        <v>68</v>
      </c>
      <c r="B13" s="160" t="s">
        <v>71</v>
      </c>
      <c r="C13" s="448"/>
      <c r="D13" s="448"/>
      <c r="E13" s="448"/>
      <c r="F13" s="448"/>
      <c r="G13" s="211"/>
      <c r="H13" s="199"/>
      <c r="I13" s="199"/>
      <c r="J13" s="199"/>
      <c r="K13" s="645"/>
      <c r="L13" s="199"/>
      <c r="M13" s="200"/>
      <c r="R13" s="161"/>
    </row>
    <row r="14" spans="1:18" s="161" customFormat="1" ht="55.5" customHeight="1">
      <c r="A14" s="522" t="s">
        <v>426</v>
      </c>
      <c r="B14" s="950" t="s">
        <v>422</v>
      </c>
      <c r="C14" s="950"/>
      <c r="D14" s="950"/>
      <c r="E14" s="950"/>
      <c r="F14" s="950"/>
      <c r="G14" s="950"/>
      <c r="H14" s="950"/>
      <c r="I14" s="950"/>
      <c r="J14" s="950"/>
      <c r="K14" s="950"/>
      <c r="L14" s="162"/>
      <c r="M14" s="162"/>
    </row>
    <row r="15" spans="1:18" s="161" customFormat="1" ht="18.75" customHeight="1">
      <c r="A15" s="522" t="s">
        <v>427</v>
      </c>
      <c r="B15" s="160" t="s">
        <v>421</v>
      </c>
      <c r="C15" s="160"/>
      <c r="D15" s="160"/>
      <c r="E15" s="160"/>
      <c r="F15" s="160"/>
      <c r="G15" s="160"/>
      <c r="I15" s="324"/>
      <c r="J15" s="162"/>
      <c r="K15" s="162"/>
      <c r="L15" s="162"/>
      <c r="M15" s="162"/>
    </row>
    <row r="16" spans="1:18" s="161" customFormat="1" ht="18.75" customHeight="1">
      <c r="A16" s="249" t="s">
        <v>423</v>
      </c>
      <c r="B16" s="160" t="s">
        <v>72</v>
      </c>
      <c r="C16" s="160"/>
      <c r="D16" s="160"/>
      <c r="E16" s="160"/>
      <c r="F16" s="160"/>
      <c r="G16" s="160"/>
      <c r="I16" s="162"/>
      <c r="J16" s="162"/>
      <c r="K16" s="162"/>
      <c r="L16" s="162"/>
      <c r="M16" s="162"/>
      <c r="N16" s="162"/>
      <c r="O16" s="162"/>
    </row>
    <row r="17" spans="1:13" s="197" customFormat="1" ht="12" customHeight="1">
      <c r="A17" s="249" t="s">
        <v>424</v>
      </c>
      <c r="B17" s="160" t="s">
        <v>73</v>
      </c>
      <c r="C17" s="160"/>
      <c r="D17" s="160"/>
      <c r="E17" s="160"/>
      <c r="F17" s="160"/>
      <c r="G17" s="211"/>
      <c r="H17" s="199"/>
      <c r="I17" s="199"/>
      <c r="J17" s="199"/>
      <c r="K17" s="199"/>
      <c r="L17" s="199"/>
      <c r="M17" s="200"/>
    </row>
    <row r="18" spans="1:13" s="197" customFormat="1" ht="15" customHeight="1">
      <c r="A18" s="249" t="s">
        <v>425</v>
      </c>
      <c r="B18" s="166" t="s">
        <v>74</v>
      </c>
      <c r="C18" s="166"/>
      <c r="D18" s="166"/>
      <c r="E18" s="166"/>
      <c r="F18" s="166"/>
      <c r="G18" s="211"/>
      <c r="H18" s="199"/>
      <c r="I18" s="199"/>
      <c r="J18" s="199"/>
      <c r="K18" s="199"/>
      <c r="L18" s="199"/>
      <c r="M18" s="200"/>
    </row>
    <row r="19" spans="1:13" s="197" customFormat="1" ht="15" customHeight="1">
      <c r="B19" s="146"/>
      <c r="C19" s="198"/>
      <c r="D19" s="198"/>
      <c r="E19" s="198"/>
      <c r="F19" s="198"/>
      <c r="G19" s="211"/>
      <c r="H19" s="199"/>
      <c r="I19" s="199"/>
      <c r="J19" s="199"/>
      <c r="K19" s="199"/>
      <c r="L19" s="199"/>
      <c r="M19" s="200"/>
    </row>
    <row r="20" spans="1:13" ht="15" customHeight="1"/>
  </sheetData>
  <mergeCells count="16">
    <mergeCell ref="N2:N3"/>
    <mergeCell ref="A1:B1"/>
    <mergeCell ref="A2:A3"/>
    <mergeCell ref="B2:B3"/>
    <mergeCell ref="C2:C3"/>
    <mergeCell ref="M2:M3"/>
    <mergeCell ref="A10:I10"/>
    <mergeCell ref="L2:L3"/>
    <mergeCell ref="B14:K14"/>
    <mergeCell ref="G2:G3"/>
    <mergeCell ref="H2:H3"/>
    <mergeCell ref="I2:I3"/>
    <mergeCell ref="J2:J3"/>
    <mergeCell ref="K2:K3"/>
    <mergeCell ref="E2:F2"/>
    <mergeCell ref="D2:D3"/>
  </mergeCells>
  <phoneticPr fontId="2" type="noConversion"/>
  <pageMargins left="0.74803149606299213" right="0.74803149606299213" top="0.97" bottom="0.75" header="0.51181102362204722" footer="0.51181102362204722"/>
  <pageSetup paperSize="9" scale="70" fitToHeight="3" orientation="landscape" r:id="rId1"/>
  <headerFooter alignWithMargins="0"/>
  <legacyDrawingHF r:id="rId2"/>
</worksheet>
</file>

<file path=xl/worksheets/sheet23.xml><?xml version="1.0" encoding="utf-8"?>
<worksheet xmlns="http://schemas.openxmlformats.org/spreadsheetml/2006/main" xmlns:r="http://schemas.openxmlformats.org/officeDocument/2006/relationships">
  <sheetPr codeName="Sheet16" enableFormatConditionsCalculation="0">
    <tabColor indexed="42"/>
  </sheetPr>
  <dimension ref="A1:X23"/>
  <sheetViews>
    <sheetView view="pageBreakPreview" zoomScale="85" zoomScaleNormal="55" zoomScaleSheetLayoutView="70" workbookViewId="0">
      <selection activeCell="S28" sqref="S28"/>
    </sheetView>
  </sheetViews>
  <sheetFormatPr defaultRowHeight="15.95" customHeight="1"/>
  <cols>
    <col min="1" max="1" width="1.88671875" style="24" customWidth="1"/>
    <col min="2" max="5" width="26.6640625" style="24" customWidth="1"/>
    <col min="6" max="9" width="5.6640625" style="24" bestFit="1" customWidth="1"/>
    <col min="10" max="10" width="6.5546875" style="24" customWidth="1"/>
    <col min="11" max="11" width="6.44140625" style="24" customWidth="1"/>
    <col min="12" max="16" width="5.6640625" style="2" bestFit="1" customWidth="1"/>
    <col min="17" max="17" width="5.77734375" style="2" customWidth="1"/>
    <col min="18" max="18" width="5.6640625" style="2" bestFit="1" customWidth="1"/>
    <col min="19" max="19" width="5.5546875" style="2" customWidth="1"/>
    <col min="20" max="21" width="7.88671875" style="2" customWidth="1"/>
    <col min="22" max="22" width="9.109375" style="2" customWidth="1"/>
    <col min="23" max="23" width="8.33203125" style="2" customWidth="1"/>
    <col min="24" max="24" width="7.88671875" style="18" customWidth="1"/>
    <col min="25" max="25" width="6.33203125" style="2" bestFit="1" customWidth="1"/>
    <col min="26" max="26" width="8.77734375" style="2" customWidth="1"/>
    <col min="27" max="27" width="6.33203125" style="2" bestFit="1" customWidth="1"/>
    <col min="28" max="28" width="8.5546875" style="2" customWidth="1"/>
    <col min="29" max="29" width="7.5546875" style="2" bestFit="1" customWidth="1"/>
    <col min="30" max="30" width="6" style="2" customWidth="1"/>
    <col min="31" max="31" width="9.44140625" style="2" customWidth="1"/>
    <col min="32" max="32" width="4" style="2" customWidth="1"/>
    <col min="33" max="33" width="7.77734375" style="2" customWidth="1"/>
    <col min="34" max="16384" width="8.88671875" style="2"/>
  </cols>
  <sheetData>
    <row r="1" spans="1:24" s="8" customFormat="1" ht="28.5" customHeight="1">
      <c r="A1" s="78"/>
      <c r="B1" s="78" t="s">
        <v>258</v>
      </c>
      <c r="C1" s="79"/>
      <c r="D1" s="79"/>
      <c r="E1" s="79"/>
      <c r="F1" s="79"/>
      <c r="G1" s="79"/>
      <c r="H1" s="79"/>
      <c r="I1" s="79"/>
      <c r="J1" s="79"/>
      <c r="K1" s="79"/>
      <c r="X1" s="19"/>
    </row>
    <row r="2" spans="1:24" s="4" customFormat="1" ht="20.100000000000001" customHeight="1">
      <c r="A2" s="107"/>
      <c r="B2" s="25"/>
      <c r="C2" s="25"/>
      <c r="D2" s="25"/>
      <c r="E2" s="25"/>
      <c r="F2" s="25"/>
      <c r="G2" s="25"/>
      <c r="H2" s="25"/>
      <c r="I2" s="25"/>
      <c r="J2" s="25"/>
      <c r="K2" s="25"/>
      <c r="X2" s="17"/>
    </row>
    <row r="3" spans="1:24" s="4" customFormat="1" ht="48.75" customHeight="1">
      <c r="A3" s="107"/>
      <c r="B3" s="281" t="s">
        <v>254</v>
      </c>
      <c r="C3" s="999" t="s">
        <v>622</v>
      </c>
      <c r="D3" s="999"/>
      <c r="E3" s="999"/>
      <c r="F3" s="25"/>
      <c r="G3" s="25"/>
      <c r="H3" s="25"/>
      <c r="I3" s="25"/>
      <c r="J3" s="25"/>
      <c r="K3" s="25"/>
      <c r="X3" s="17"/>
    </row>
    <row r="4" spans="1:24" s="4" customFormat="1" ht="48.75" customHeight="1">
      <c r="A4" s="107"/>
      <c r="B4" s="281" t="s">
        <v>255</v>
      </c>
      <c r="C4" s="999"/>
      <c r="D4" s="999"/>
      <c r="E4" s="999"/>
      <c r="F4" s="25"/>
      <c r="G4" s="25"/>
      <c r="H4" s="25"/>
      <c r="I4" s="25"/>
      <c r="J4" s="25"/>
      <c r="K4" s="25"/>
      <c r="X4" s="17"/>
    </row>
    <row r="5" spans="1:24" s="4" customFormat="1" ht="48.75" customHeight="1">
      <c r="A5" s="107"/>
      <c r="B5" s="1000" t="s">
        <v>387</v>
      </c>
      <c r="C5" s="1000"/>
      <c r="D5" s="1000"/>
      <c r="E5" s="1000"/>
      <c r="F5" s="25"/>
      <c r="G5" s="25"/>
      <c r="H5" s="25"/>
      <c r="I5" s="25"/>
      <c r="J5" s="25"/>
      <c r="K5" s="25"/>
      <c r="X5" s="17"/>
    </row>
    <row r="6" spans="1:24" s="4" customFormat="1" ht="48.75" customHeight="1">
      <c r="A6" s="107"/>
      <c r="B6" s="281" t="s">
        <v>389</v>
      </c>
      <c r="C6" s="512"/>
      <c r="D6" s="281" t="s">
        <v>390</v>
      </c>
      <c r="E6" s="512"/>
      <c r="F6" s="25"/>
      <c r="G6" s="25"/>
      <c r="H6" s="25"/>
      <c r="I6" s="25"/>
      <c r="J6" s="25"/>
      <c r="K6" s="25"/>
      <c r="X6" s="17"/>
    </row>
    <row r="7" spans="1:24" s="4" customFormat="1" ht="48.75" customHeight="1">
      <c r="A7" s="107"/>
      <c r="B7" s="281" t="s">
        <v>393</v>
      </c>
      <c r="C7" s="1037"/>
      <c r="D7" s="1038"/>
      <c r="E7" s="1039"/>
      <c r="F7" s="25"/>
      <c r="G7" s="25"/>
      <c r="H7" s="25"/>
      <c r="I7" s="25"/>
      <c r="J7" s="25"/>
      <c r="K7" s="25"/>
      <c r="X7" s="17"/>
    </row>
    <row r="8" spans="1:24" s="4" customFormat="1" ht="48.75" customHeight="1">
      <c r="A8" s="107"/>
      <c r="B8" s="1000" t="s">
        <v>388</v>
      </c>
      <c r="C8" s="1000"/>
      <c r="D8" s="1000"/>
      <c r="E8" s="1000"/>
      <c r="F8" s="25"/>
      <c r="G8" s="25"/>
      <c r="H8" s="25"/>
      <c r="I8" s="25"/>
      <c r="J8" s="25"/>
      <c r="K8" s="25"/>
      <c r="X8" s="17"/>
    </row>
    <row r="9" spans="1:24" s="4" customFormat="1" ht="48.75" customHeight="1">
      <c r="A9" s="107"/>
      <c r="B9" s="281" t="s">
        <v>391</v>
      </c>
      <c r="C9" s="511"/>
      <c r="D9" s="511"/>
      <c r="E9" s="511"/>
      <c r="F9" s="25"/>
      <c r="G9" s="25"/>
      <c r="H9" s="25"/>
      <c r="I9" s="25"/>
      <c r="J9" s="25"/>
      <c r="K9" s="25"/>
      <c r="X9" s="17"/>
    </row>
    <row r="10" spans="1:24" s="4" customFormat="1" ht="48.75" customHeight="1">
      <c r="A10" s="107"/>
      <c r="B10" s="281" t="s">
        <v>392</v>
      </c>
      <c r="C10" s="511"/>
      <c r="D10" s="511"/>
      <c r="E10" s="511"/>
      <c r="F10" s="25"/>
      <c r="G10" s="25"/>
      <c r="H10" s="25"/>
      <c r="I10" s="25"/>
      <c r="J10" s="25"/>
      <c r="K10" s="25"/>
      <c r="X10" s="17"/>
    </row>
    <row r="11" spans="1:24" ht="20.100000000000001" customHeight="1">
      <c r="F11" s="111"/>
      <c r="G11" s="111"/>
      <c r="H11" s="25"/>
      <c r="I11" s="25"/>
      <c r="J11" s="25"/>
      <c r="K11" s="25"/>
      <c r="L11" s="4"/>
      <c r="M11" s="4"/>
      <c r="N11" s="4"/>
      <c r="O11" s="4"/>
      <c r="P11" s="4"/>
      <c r="Q11" s="4"/>
      <c r="R11" s="4"/>
      <c r="S11" s="4"/>
    </row>
    <row r="12" spans="1:24" ht="18.75" customHeight="1">
      <c r="B12" s="175"/>
      <c r="C12" s="181"/>
      <c r="D12" s="177"/>
      <c r="E12" s="177"/>
      <c r="F12" s="181"/>
      <c r="G12" s="177"/>
      <c r="H12" s="181"/>
      <c r="I12" s="177"/>
      <c r="J12" s="112"/>
      <c r="K12" s="112"/>
    </row>
    <row r="13" spans="1:24" ht="18.75" customHeight="1">
      <c r="B13" s="179" t="s">
        <v>253</v>
      </c>
      <c r="C13" s="172" t="s">
        <v>257</v>
      </c>
      <c r="D13" s="174"/>
      <c r="E13" s="174"/>
    </row>
    <row r="14" spans="1:24" ht="15.95" customHeight="1">
      <c r="B14" s="179"/>
      <c r="C14" s="172"/>
      <c r="D14" s="174"/>
      <c r="E14" s="174"/>
    </row>
    <row r="15" spans="1:24" ht="15.95" customHeight="1">
      <c r="B15" s="179"/>
      <c r="C15" s="172"/>
      <c r="D15" s="174"/>
      <c r="E15" s="174"/>
    </row>
    <row r="16" spans="1:24" ht="15.95" customHeight="1">
      <c r="B16" s="174"/>
      <c r="C16" s="174"/>
      <c r="D16" s="174"/>
      <c r="E16" s="174"/>
    </row>
    <row r="23" spans="16:16" ht="15.95" customHeight="1">
      <c r="P23" s="566"/>
    </row>
  </sheetData>
  <mergeCells count="5">
    <mergeCell ref="C4:E4"/>
    <mergeCell ref="C3:E3"/>
    <mergeCell ref="B8:E8"/>
    <mergeCell ref="B5:E5"/>
    <mergeCell ref="C7:E7"/>
  </mergeCells>
  <phoneticPr fontId="2" type="noConversion"/>
  <pageMargins left="0.74803149606299213" right="0.74803149606299213" top="0.97" bottom="0.78740157480314965" header="0.51181102362204722" footer="0.51181102362204722"/>
  <pageSetup paperSize="9" orientation="landscape" horizontalDpi="4294967293" r:id="rId1"/>
  <headerFooter alignWithMargins="0"/>
  <colBreaks count="1" manualBreakCount="1">
    <brk id="31" max="62" man="1"/>
  </colBreaks>
</worksheet>
</file>

<file path=xl/worksheets/sheet24.xml><?xml version="1.0" encoding="utf-8"?>
<worksheet xmlns="http://schemas.openxmlformats.org/spreadsheetml/2006/main" xmlns:r="http://schemas.openxmlformats.org/officeDocument/2006/relationships">
  <sheetPr codeName="Sheet8" enableFormatConditionsCalculation="0">
    <tabColor indexed="10"/>
  </sheetPr>
  <dimension ref="A1:R39"/>
  <sheetViews>
    <sheetView view="pageBreakPreview" zoomScaleSheetLayoutView="100" workbookViewId="0">
      <selection activeCell="F14" sqref="F14"/>
    </sheetView>
  </sheetViews>
  <sheetFormatPr defaultRowHeight="15.95" customHeight="1"/>
  <cols>
    <col min="1" max="1" width="3.77734375" style="24" customWidth="1"/>
    <col min="2" max="2" width="19.77734375" style="24" customWidth="1"/>
    <col min="3" max="6" width="10" style="24" customWidth="1"/>
    <col min="7" max="7" width="10" style="87" customWidth="1"/>
    <col min="8" max="8" width="10" style="77" customWidth="1"/>
    <col min="9" max="9" width="10" style="24" customWidth="1"/>
    <col min="10" max="10" width="8" style="24" customWidth="1"/>
    <col min="11" max="11" width="9" style="94" customWidth="1"/>
    <col min="12" max="12" width="7.33203125" style="24" customWidth="1"/>
    <col min="13" max="13" width="13.33203125" style="2" customWidth="1"/>
    <col min="14" max="14" width="7.77734375" style="16" customWidth="1"/>
    <col min="15" max="16" width="9" style="16" bestFit="1" customWidth="1"/>
    <col min="17" max="18" width="7.77734375" style="16" customWidth="1"/>
    <col min="19" max="19" width="8.88671875" style="2"/>
    <col min="20" max="20" width="3.33203125" style="2" customWidth="1"/>
    <col min="21" max="23" width="11.88671875" style="2" customWidth="1"/>
    <col min="24" max="16384" width="8.88671875" style="2"/>
  </cols>
  <sheetData>
    <row r="1" spans="1:18" s="8" customFormat="1" ht="18.75" customHeight="1">
      <c r="A1" s="78" t="s">
        <v>238</v>
      </c>
      <c r="B1" s="79"/>
      <c r="C1" s="79"/>
      <c r="D1" s="79"/>
      <c r="E1" s="79"/>
      <c r="F1" s="79"/>
      <c r="G1" s="95"/>
      <c r="H1" s="80"/>
      <c r="I1" s="79"/>
      <c r="J1" s="79"/>
      <c r="K1" s="79"/>
      <c r="L1" s="79"/>
      <c r="N1" s="15"/>
      <c r="O1" s="15"/>
      <c r="P1" s="15"/>
      <c r="Q1" s="15"/>
      <c r="R1" s="15"/>
    </row>
    <row r="2" spans="1:18" s="8" customFormat="1" ht="9" customHeight="1">
      <c r="A2" s="78"/>
      <c r="B2" s="79"/>
      <c r="C2" s="79"/>
      <c r="D2" s="79"/>
      <c r="E2" s="79"/>
      <c r="F2" s="79"/>
      <c r="G2" s="95"/>
      <c r="H2" s="80"/>
      <c r="I2" s="79"/>
      <c r="J2" s="79"/>
      <c r="K2" s="79"/>
      <c r="L2" s="79"/>
      <c r="N2" s="15"/>
      <c r="O2" s="15"/>
      <c r="P2" s="15"/>
      <c r="Q2" s="15"/>
      <c r="R2" s="15"/>
    </row>
    <row r="3" spans="1:18" s="8" customFormat="1" ht="22.5" customHeight="1">
      <c r="A3" s="79"/>
      <c r="B3" s="96" t="s">
        <v>138</v>
      </c>
      <c r="C3" s="79"/>
      <c r="D3" s="79"/>
      <c r="E3" s="79"/>
      <c r="F3" s="79"/>
      <c r="G3" s="95"/>
      <c r="H3" s="80"/>
      <c r="I3" s="79"/>
      <c r="J3" s="79"/>
      <c r="K3" s="79"/>
      <c r="L3" s="79"/>
    </row>
    <row r="4" spans="1:18" s="4" customFormat="1" ht="28.5" customHeight="1">
      <c r="A4" s="25"/>
      <c r="B4" s="1051" t="s">
        <v>88</v>
      </c>
      <c r="C4" s="1051" t="s">
        <v>194</v>
      </c>
      <c r="D4" s="1053"/>
      <c r="E4" s="1054" t="s">
        <v>95</v>
      </c>
      <c r="F4" s="1054"/>
      <c r="G4" s="1054"/>
      <c r="H4" s="875" t="s">
        <v>109</v>
      </c>
      <c r="I4" s="1046" t="s">
        <v>395</v>
      </c>
      <c r="J4" s="1047"/>
      <c r="K4" s="1048"/>
      <c r="L4" s="1040" t="s">
        <v>89</v>
      </c>
    </row>
    <row r="5" spans="1:18" s="4" customFormat="1" ht="28.5" customHeight="1">
      <c r="A5" s="25"/>
      <c r="B5" s="1052"/>
      <c r="C5" s="394" t="s">
        <v>92</v>
      </c>
      <c r="D5" s="395" t="s">
        <v>93</v>
      </c>
      <c r="E5" s="396" t="s">
        <v>92</v>
      </c>
      <c r="F5" s="396" t="s">
        <v>93</v>
      </c>
      <c r="G5" s="397" t="s">
        <v>119</v>
      </c>
      <c r="H5" s="877"/>
      <c r="I5" s="500" t="s">
        <v>396</v>
      </c>
      <c r="J5" s="618" t="s">
        <v>196</v>
      </c>
      <c r="K5" s="409" t="s">
        <v>328</v>
      </c>
      <c r="L5" s="1040"/>
    </row>
    <row r="6" spans="1:18" s="4" customFormat="1" ht="28.5" customHeight="1">
      <c r="A6" s="25"/>
      <c r="B6" s="287" t="str">
        <f>참여업체!C6</f>
        <v>oo엔지니어링</v>
      </c>
      <c r="C6" s="293">
        <v>0</v>
      </c>
      <c r="D6" s="294">
        <v>0</v>
      </c>
      <c r="E6" s="295">
        <f>((CEILING(C6/30,1)*배점기준!$E$76))</f>
        <v>0</v>
      </c>
      <c r="F6" s="295">
        <f>(CEILING(D6/90,1)*배점기준!$E$78)</f>
        <v>0</v>
      </c>
      <c r="G6" s="296">
        <f>E6+F6</f>
        <v>0</v>
      </c>
      <c r="H6" s="288">
        <v>0.42</v>
      </c>
      <c r="I6" s="794">
        <f>부실벌점!E5</f>
        <v>0.06</v>
      </c>
      <c r="J6" s="509">
        <f>부실벌점!F5</f>
        <v>0</v>
      </c>
      <c r="K6" s="1055">
        <f>부실벌점!F22</f>
        <v>0</v>
      </c>
      <c r="L6" s="1043">
        <f>7+G6*H6+G8*H8+J6*H6+J8*H8+K6</f>
        <v>7</v>
      </c>
    </row>
    <row r="7" spans="1:18" s="4" customFormat="1" ht="28.5" customHeight="1">
      <c r="A7" s="25"/>
      <c r="B7" s="289" t="str">
        <f>참여업체!D6</f>
        <v>＊＊엔지니어링</v>
      </c>
      <c r="C7" s="693">
        <v>0</v>
      </c>
      <c r="D7" s="694">
        <v>0</v>
      </c>
      <c r="E7" s="695">
        <v>0</v>
      </c>
      <c r="F7" s="695">
        <v>0</v>
      </c>
      <c r="G7" s="696" t="s">
        <v>597</v>
      </c>
      <c r="H7" s="697">
        <v>0.33</v>
      </c>
      <c r="I7" s="795">
        <f>부실벌점!E6</f>
        <v>0.13</v>
      </c>
      <c r="J7" s="698">
        <v>0</v>
      </c>
      <c r="K7" s="1056"/>
      <c r="L7" s="1044"/>
    </row>
    <row r="8" spans="1:18" s="4" customFormat="1" ht="28.5" customHeight="1">
      <c r="A8" s="25"/>
      <c r="B8" s="627" t="str">
        <f>참여업체!E6</f>
        <v>☆☆엔지니어링</v>
      </c>
      <c r="C8" s="297">
        <v>0</v>
      </c>
      <c r="D8" s="298">
        <v>0</v>
      </c>
      <c r="E8" s="299">
        <f>((CEILING(C8/30,1)*배점기준!$E$76))</f>
        <v>0</v>
      </c>
      <c r="F8" s="299">
        <f>(CEILING(D8/90,1)*배점기준!$E$78)</f>
        <v>0</v>
      </c>
      <c r="G8" s="300">
        <f>E8+F8</f>
        <v>0</v>
      </c>
      <c r="H8" s="290">
        <v>0.25</v>
      </c>
      <c r="I8" s="701">
        <f>부실벌점!E7</f>
        <v>0.1</v>
      </c>
      <c r="J8" s="510">
        <f>부실벌점!F7</f>
        <v>0</v>
      </c>
      <c r="K8" s="1057"/>
      <c r="L8" s="1045"/>
    </row>
    <row r="9" spans="1:18" ht="12" customHeight="1">
      <c r="B9" s="94"/>
    </row>
    <row r="10" spans="1:18" ht="28.5" customHeight="1">
      <c r="B10" s="96" t="s">
        <v>212</v>
      </c>
      <c r="C10" s="96"/>
      <c r="D10" s="97"/>
      <c r="E10" s="97"/>
      <c r="F10" s="97"/>
      <c r="G10" s="97"/>
      <c r="H10" s="97"/>
      <c r="I10" s="79"/>
    </row>
    <row r="11" spans="1:18" ht="28.5" customHeight="1">
      <c r="B11" s="1051" t="s">
        <v>88</v>
      </c>
      <c r="C11" s="398" t="s">
        <v>243</v>
      </c>
      <c r="D11" s="399" t="s">
        <v>155</v>
      </c>
      <c r="E11" s="400" t="s">
        <v>156</v>
      </c>
      <c r="F11" s="398" t="s">
        <v>154</v>
      </c>
      <c r="G11" s="399" t="s">
        <v>155</v>
      </c>
      <c r="H11" s="401" t="s">
        <v>156</v>
      </c>
      <c r="I11" s="402" t="s">
        <v>213</v>
      </c>
      <c r="J11" s="875" t="s">
        <v>109</v>
      </c>
      <c r="K11" s="1041" t="s">
        <v>89</v>
      </c>
    </row>
    <row r="12" spans="1:18" ht="28.5" customHeight="1">
      <c r="B12" s="1052"/>
      <c r="C12" s="403" t="s">
        <v>107</v>
      </c>
      <c r="D12" s="404" t="s">
        <v>107</v>
      </c>
      <c r="E12" s="405" t="s">
        <v>107</v>
      </c>
      <c r="F12" s="403" t="s">
        <v>95</v>
      </c>
      <c r="G12" s="404" t="s">
        <v>95</v>
      </c>
      <c r="H12" s="406" t="s">
        <v>95</v>
      </c>
      <c r="I12" s="407" t="s">
        <v>95</v>
      </c>
      <c r="J12" s="877"/>
      <c r="K12" s="1042"/>
    </row>
    <row r="13" spans="1:18" ht="28.5" customHeight="1">
      <c r="B13" s="287" t="str">
        <f>B6</f>
        <v>oo엔지니어링</v>
      </c>
      <c r="C13" s="301" t="s">
        <v>751</v>
      </c>
      <c r="D13" s="302" t="s">
        <v>751</v>
      </c>
      <c r="E13" s="303" t="s">
        <v>170</v>
      </c>
      <c r="F13" s="796">
        <f>IF(OR(C13=C$22,C13=C$23,C13=C$24,C13=C$25,C13=C$26,C13=C$27,C13=C$28),3,IF(OR(C13=C$29,C13=C$30,C13=C$31),2.7,IF(OR(C13=C$32,C13=C$33,C13=C$34,C13=C$35,C13=C$36,C13=C$37),2.4,IF(C13=C$38,2.1,0))))</f>
        <v>0</v>
      </c>
      <c r="G13" s="797">
        <f>IF(OR(D13=D$22,D13=D$23,D13=D$24,D13=D$25),3,IF(D13=D$26,2.7,IF(OR(D13=D$27,D13=D$28,D13=D$29,D13=D$30,D13=D$31),2.4,IF(D13=D$32,2.1,0))))</f>
        <v>0</v>
      </c>
      <c r="H13" s="798">
        <f>IF(OR(E13=E$22,E13=E$23,E13=E$24,E13=E$25,E13=E$26,E13=E$27,E13=E$28),3,IF(OR(E13=E$29,E13=E$30,E13=E$31),2.7,IF(OR(E13=E$32,E13=E$33,E13=E$34,E13=E$35,E13=E$36,E13=E$37),2.4,IF(E13=E$38,2.1,0))))</f>
        <v>2.7</v>
      </c>
      <c r="I13" s="799">
        <f>MAX(F13:H13)</f>
        <v>2.7</v>
      </c>
      <c r="J13" s="800">
        <v>0.42</v>
      </c>
      <c r="K13" s="1049">
        <f>I13*J13+I14*J14+I15*J15</f>
        <v>2.8740000000000001</v>
      </c>
    </row>
    <row r="14" spans="1:18" ht="28.5" customHeight="1">
      <c r="B14" s="692" t="str">
        <f>B7</f>
        <v>＊＊엔지니어링</v>
      </c>
      <c r="C14" s="702" t="s">
        <v>751</v>
      </c>
      <c r="D14" s="703" t="s">
        <v>751</v>
      </c>
      <c r="E14" s="704" t="s">
        <v>164</v>
      </c>
      <c r="F14" s="806">
        <f>IF(OR(C14=C$22,C14=C$23,C14=C$24,C14=C$25,C14=C$26,C14=C$27,C14=C$28),3,IF(OR(C14=C$29,C14=C$30,C14=C$31),2.7,IF(OR(C14=C$32,C14=C$33,C14=C$34,C14=C$35,C14=C$36,C14=C$37),2.4,IF(C14=C$38,2.1,0))))</f>
        <v>0</v>
      </c>
      <c r="G14" s="807">
        <f>IF(OR(D14=D$22,D14=D$23,D14=D$24,D14=D$25),3,IF(D14=D$26,2.7,IF(OR(D14=D$27,D14=D$28,D14=D$29,D14=D$30,D14=D$31),2.4,IF(D14=D$32,2.1,0))))</f>
        <v>0</v>
      </c>
      <c r="H14" s="808">
        <f>IF(OR(E14=E$22,E14=E$23,E14=E$24,E14=E$25,E14=E$26,E14=E$27,E14=E$28),3,IF(OR(E14=E$29,E14=E$30,E14=E$31),2.7,IF(OR(E14=E$32,E14=E$33,E14=E$34,E14=E$35,E14=E$36,E14=E$37),2.4,IF(E14=E$38,2.1,0))))</f>
        <v>3</v>
      </c>
      <c r="I14" s="809">
        <f>MAX(F14:H14)</f>
        <v>3</v>
      </c>
      <c r="J14" s="810">
        <v>0.33</v>
      </c>
      <c r="K14" s="1044"/>
    </row>
    <row r="15" spans="1:18" ht="28.5" customHeight="1">
      <c r="B15" s="627" t="str">
        <f>B8</f>
        <v>☆☆엔지니어링</v>
      </c>
      <c r="C15" s="304" t="s">
        <v>751</v>
      </c>
      <c r="D15" s="305" t="s">
        <v>751</v>
      </c>
      <c r="E15" s="306" t="s">
        <v>166</v>
      </c>
      <c r="F15" s="801">
        <f>IF(OR(C15=C$22,C15=C$23,C15=C$24,C15=C$25,C15=C$26,C15=C$27,C15=C$28),3,IF(OR(C15=C$29,C15=C$30,C15=C$31),2.7,IF(OR(C15=C$32,C15=C$33,C15=C$34,C15=C$35,C15=C$36,C15=C$37),2.4,IF(C15=C$38,2.1,0))))</f>
        <v>0</v>
      </c>
      <c r="G15" s="802">
        <f>IF(OR(D15=D$22,D15=D$23,D15=D$24,D15=D$25),3,IF(D15=D$26,2.7,IF(OR(D15=D$27,D15=D$28,D15=D$29,D15=D$30,D15=D$31),2.4,IF(D15=D$32,2.1,0))))</f>
        <v>0</v>
      </c>
      <c r="H15" s="803">
        <f>IF(OR(E15=E$22,E15=E$23,E15=E$24,E15=E$25,E15=E$26,E15=E$27,E15=E$28),3,IF(OR(E15=E$29,E15=E$30,E15=E$31),2.7,IF(OR(E15=E$32,E15=E$33,E15=E$34,E15=E$35,E15=E$36,E15=E$37),2.4,IF(E15=E$38,2.1,0))))</f>
        <v>3</v>
      </c>
      <c r="I15" s="804">
        <f>MAX(F15:H15)</f>
        <v>3</v>
      </c>
      <c r="J15" s="805">
        <v>0.25</v>
      </c>
      <c r="K15" s="1050"/>
    </row>
    <row r="16" spans="1:18" ht="11.25" customHeight="1"/>
    <row r="17" spans="1:14" s="128" customFormat="1" ht="15" customHeight="1">
      <c r="A17" s="158" t="s">
        <v>242</v>
      </c>
      <c r="B17" s="158" t="s">
        <v>244</v>
      </c>
      <c r="C17" s="145"/>
      <c r="D17" s="129"/>
      <c r="E17" s="129"/>
      <c r="F17" s="129"/>
      <c r="G17" s="129"/>
      <c r="H17" s="129"/>
      <c r="I17" s="129"/>
      <c r="J17" s="129"/>
      <c r="K17" s="130"/>
      <c r="L17" s="131"/>
      <c r="M17" s="131"/>
      <c r="N17" s="131"/>
    </row>
    <row r="18" spans="1:14" ht="15.95" customHeight="1">
      <c r="A18" s="158" t="s">
        <v>245</v>
      </c>
      <c r="B18" s="158" t="s">
        <v>87</v>
      </c>
    </row>
    <row r="19" spans="1:14" ht="15.95" customHeight="1">
      <c r="A19" s="158" t="s">
        <v>247</v>
      </c>
      <c r="B19" s="158" t="s">
        <v>248</v>
      </c>
    </row>
    <row r="20" spans="1:14" ht="15.95" customHeight="1" thickBot="1"/>
    <row r="21" spans="1:14" ht="15.95" customHeight="1">
      <c r="C21" s="99" t="s">
        <v>154</v>
      </c>
      <c r="D21" s="100" t="s">
        <v>155</v>
      </c>
      <c r="E21" s="101" t="s">
        <v>156</v>
      </c>
    </row>
    <row r="22" spans="1:14" ht="15.95" customHeight="1">
      <c r="C22" s="102" t="s">
        <v>157</v>
      </c>
      <c r="D22" s="98" t="s">
        <v>158</v>
      </c>
      <c r="E22" s="103" t="s">
        <v>157</v>
      </c>
    </row>
    <row r="23" spans="1:14" ht="15.95" customHeight="1">
      <c r="C23" s="102" t="s">
        <v>177</v>
      </c>
      <c r="D23" s="98" t="s">
        <v>159</v>
      </c>
      <c r="E23" s="103" t="s">
        <v>177</v>
      </c>
    </row>
    <row r="24" spans="1:14" ht="15.95" customHeight="1">
      <c r="C24" s="102" t="s">
        <v>178</v>
      </c>
      <c r="D24" s="98" t="s">
        <v>160</v>
      </c>
      <c r="E24" s="103" t="s">
        <v>178</v>
      </c>
    </row>
    <row r="25" spans="1:14" ht="15.95" customHeight="1">
      <c r="C25" s="102" t="s">
        <v>179</v>
      </c>
      <c r="D25" s="98" t="s">
        <v>161</v>
      </c>
      <c r="E25" s="103" t="s">
        <v>179</v>
      </c>
    </row>
    <row r="26" spans="1:14" ht="15.95" customHeight="1">
      <c r="C26" s="102" t="s">
        <v>162</v>
      </c>
      <c r="D26" s="98" t="s">
        <v>163</v>
      </c>
      <c r="E26" s="103" t="s">
        <v>162</v>
      </c>
    </row>
    <row r="27" spans="1:14" ht="15.95" customHeight="1">
      <c r="C27" s="102" t="s">
        <v>164</v>
      </c>
      <c r="D27" s="98" t="s">
        <v>165</v>
      </c>
      <c r="E27" s="103" t="s">
        <v>164</v>
      </c>
    </row>
    <row r="28" spans="1:14" ht="15.95" customHeight="1">
      <c r="C28" s="102" t="s">
        <v>166</v>
      </c>
      <c r="D28" s="98" t="s">
        <v>167</v>
      </c>
      <c r="E28" s="103" t="s">
        <v>166</v>
      </c>
    </row>
    <row r="29" spans="1:14" ht="15.95" customHeight="1">
      <c r="C29" s="102" t="s">
        <v>168</v>
      </c>
      <c r="D29" s="98" t="s">
        <v>169</v>
      </c>
      <c r="E29" s="103" t="s">
        <v>168</v>
      </c>
    </row>
    <row r="30" spans="1:14" ht="15.95" customHeight="1">
      <c r="C30" s="102" t="s">
        <v>170</v>
      </c>
      <c r="D30" s="98" t="s">
        <v>171</v>
      </c>
      <c r="E30" s="103" t="s">
        <v>170</v>
      </c>
    </row>
    <row r="31" spans="1:14" ht="15.95" customHeight="1">
      <c r="C31" s="102" t="s">
        <v>172</v>
      </c>
      <c r="D31" s="98" t="s">
        <v>173</v>
      </c>
      <c r="E31" s="103" t="s">
        <v>172</v>
      </c>
    </row>
    <row r="32" spans="1:14" ht="15.95" customHeight="1">
      <c r="C32" s="102" t="s">
        <v>180</v>
      </c>
      <c r="D32" s="98" t="s">
        <v>174</v>
      </c>
      <c r="E32" s="103" t="s">
        <v>180</v>
      </c>
    </row>
    <row r="33" spans="3:5" ht="15.95" customHeight="1">
      <c r="C33" s="102" t="s">
        <v>181</v>
      </c>
      <c r="D33" s="98" t="s">
        <v>140</v>
      </c>
      <c r="E33" s="103" t="s">
        <v>181</v>
      </c>
    </row>
    <row r="34" spans="3:5" ht="15.95" customHeight="1">
      <c r="C34" s="102" t="s">
        <v>175</v>
      </c>
      <c r="D34" s="98"/>
      <c r="E34" s="103" t="s">
        <v>175</v>
      </c>
    </row>
    <row r="35" spans="3:5" ht="15.95" customHeight="1">
      <c r="C35" s="102" t="s">
        <v>182</v>
      </c>
      <c r="D35" s="98"/>
      <c r="E35" s="103" t="s">
        <v>182</v>
      </c>
    </row>
    <row r="36" spans="3:5" ht="15.95" customHeight="1">
      <c r="C36" s="102" t="s">
        <v>183</v>
      </c>
      <c r="D36" s="98"/>
      <c r="E36" s="103" t="s">
        <v>183</v>
      </c>
    </row>
    <row r="37" spans="3:5" ht="15.95" customHeight="1">
      <c r="C37" s="102" t="s">
        <v>184</v>
      </c>
      <c r="D37" s="98"/>
      <c r="E37" s="103" t="s">
        <v>184</v>
      </c>
    </row>
    <row r="38" spans="3:5" ht="15.95" customHeight="1">
      <c r="C38" s="102" t="s">
        <v>176</v>
      </c>
      <c r="D38" s="98"/>
      <c r="E38" s="103" t="s">
        <v>176</v>
      </c>
    </row>
    <row r="39" spans="3:5" ht="15.95" customHeight="1" thickBot="1">
      <c r="C39" s="104" t="s">
        <v>140</v>
      </c>
      <c r="D39" s="105"/>
      <c r="E39" s="106" t="s">
        <v>140</v>
      </c>
    </row>
  </sheetData>
  <protectedRanges>
    <protectedRange password="CF2F" sqref="C13:E15 C6:D8" name="범위1"/>
    <protectedRange password="CF2F" sqref="I6:I8" name="범위2"/>
    <protectedRange password="CF2F" sqref="I6:I8" name="범위1_1"/>
  </protectedRanges>
  <mergeCells count="12">
    <mergeCell ref="K13:K15"/>
    <mergeCell ref="B11:B12"/>
    <mergeCell ref="B4:B5"/>
    <mergeCell ref="C4:D4"/>
    <mergeCell ref="E4:G4"/>
    <mergeCell ref="K6:K8"/>
    <mergeCell ref="L4:L5"/>
    <mergeCell ref="H4:H5"/>
    <mergeCell ref="J11:J12"/>
    <mergeCell ref="K11:K12"/>
    <mergeCell ref="L6:L8"/>
    <mergeCell ref="I4:K4"/>
  </mergeCells>
  <phoneticPr fontId="2" type="noConversion"/>
  <dataValidations disablePrompts="1" count="3">
    <dataValidation type="list" allowBlank="1" showInputMessage="1" showErrorMessage="1" sqref="D13:D15">
      <formula1>$D$22:$D$33</formula1>
    </dataValidation>
    <dataValidation type="list" allowBlank="1" showInputMessage="1" showErrorMessage="1" sqref="E13:E15">
      <formula1>$E$22:$E$39</formula1>
    </dataValidation>
    <dataValidation type="list" allowBlank="1" showInputMessage="1" showErrorMessage="1" sqref="C13:C15">
      <formula1>$C$22:$C$39</formula1>
    </dataValidation>
  </dataValidations>
  <pageMargins left="0.74803149606299213" right="0.7" top="1.03" bottom="0.98425196850393704" header="0.51181102362204722" footer="0.51181102362204722"/>
  <pageSetup paperSize="9" scale="94" orientation="landscape" horizontalDpi="4294967293" r:id="rId1"/>
  <headerFooter alignWithMargins="0"/>
  <colBreaks count="1" manualBreakCount="1">
    <brk id="12" max="15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>
  <sheetPr codeName="Sheet20" enableFormatConditionsCalculation="0">
    <tabColor indexed="43"/>
  </sheetPr>
  <dimension ref="A1:Q118"/>
  <sheetViews>
    <sheetView view="pageBreakPreview" zoomScale="85" zoomScaleNormal="55" zoomScaleSheetLayoutView="70" workbookViewId="0">
      <selection activeCell="C5" sqref="C5"/>
    </sheetView>
  </sheetViews>
  <sheetFormatPr defaultRowHeight="15.95" customHeight="1"/>
  <cols>
    <col min="1" max="1" width="5.109375" style="24" customWidth="1"/>
    <col min="2" max="2" width="20.6640625" style="24" customWidth="1"/>
    <col min="3" max="3" width="15.5546875" style="24" customWidth="1"/>
    <col min="4" max="4" width="39.44140625" style="24" customWidth="1"/>
    <col min="5" max="5" width="16.6640625" style="24" customWidth="1"/>
    <col min="6" max="6" width="12.44140625" style="24" customWidth="1"/>
    <col min="7" max="7" width="11.6640625" style="24" customWidth="1"/>
    <col min="8" max="8" width="5.6640625" style="24" bestFit="1" customWidth="1"/>
    <col min="9" max="9" width="20.33203125" style="24" customWidth="1"/>
    <col min="10" max="10" width="17.33203125" style="24" customWidth="1"/>
    <col min="11" max="12" width="8" style="24" bestFit="1" customWidth="1"/>
    <col min="13" max="13" width="14" style="24" customWidth="1"/>
    <col min="14" max="14" width="8.109375" style="24" customWidth="1"/>
    <col min="15" max="15" width="12.77734375" style="24" customWidth="1"/>
    <col min="16" max="16" width="8.33203125" style="2" customWidth="1"/>
    <col min="17" max="17" width="7.88671875" style="18" customWidth="1"/>
    <col min="18" max="18" width="6.33203125" style="2" bestFit="1" customWidth="1"/>
    <col min="19" max="19" width="8.77734375" style="2" customWidth="1"/>
    <col min="20" max="20" width="6.33203125" style="2" bestFit="1" customWidth="1"/>
    <col min="21" max="21" width="8.5546875" style="2" customWidth="1"/>
    <col min="22" max="22" width="7.5546875" style="2" bestFit="1" customWidth="1"/>
    <col min="23" max="23" width="6" style="2" customWidth="1"/>
    <col min="24" max="24" width="9.44140625" style="2" customWidth="1"/>
    <col min="25" max="25" width="4" style="2" customWidth="1"/>
    <col min="26" max="26" width="7.77734375" style="2" customWidth="1"/>
    <col min="27" max="16384" width="8.88671875" style="2"/>
  </cols>
  <sheetData>
    <row r="1" spans="1:8" s="244" customFormat="1" ht="28.5" customHeight="1">
      <c r="A1" s="242"/>
      <c r="B1" s="107" t="s">
        <v>331</v>
      </c>
      <c r="C1" s="174"/>
      <c r="D1" s="174"/>
      <c r="E1" s="174"/>
      <c r="F1" s="174"/>
      <c r="H1" s="245"/>
    </row>
    <row r="2" spans="1:8" s="244" customFormat="1" ht="8.25" customHeight="1">
      <c r="A2" s="242"/>
      <c r="B2" s="113"/>
      <c r="C2" s="174"/>
      <c r="D2" s="174"/>
      <c r="E2" s="174"/>
      <c r="F2" s="174"/>
      <c r="H2" s="245"/>
    </row>
    <row r="3" spans="1:8" s="244" customFormat="1" ht="27.75" customHeight="1" thickBot="1">
      <c r="A3" s="243"/>
      <c r="B3" s="113" t="s">
        <v>332</v>
      </c>
      <c r="C3" s="243"/>
      <c r="D3" s="243"/>
      <c r="E3" s="243"/>
      <c r="F3" s="243"/>
      <c r="H3" s="245"/>
    </row>
    <row r="4" spans="1:8" s="247" customFormat="1" ht="30" customHeight="1">
      <c r="A4" s="246"/>
      <c r="B4" s="419" t="s">
        <v>88</v>
      </c>
      <c r="C4" s="420" t="s">
        <v>109</v>
      </c>
      <c r="D4" s="420" t="s">
        <v>31</v>
      </c>
      <c r="E4" s="420" t="s">
        <v>91</v>
      </c>
      <c r="F4" s="421" t="s">
        <v>89</v>
      </c>
      <c r="H4" s="248"/>
    </row>
    <row r="5" spans="1:8" s="247" customFormat="1" ht="30" customHeight="1">
      <c r="A5" s="246"/>
      <c r="B5" s="675" t="str">
        <f>신용도!B13</f>
        <v>oo엔지니어링</v>
      </c>
      <c r="C5" s="676">
        <v>0.42</v>
      </c>
      <c r="D5" s="699" t="s">
        <v>483</v>
      </c>
      <c r="E5" s="677">
        <v>0.06</v>
      </c>
      <c r="F5" s="678">
        <f>IF(E5&gt;=20,배점기준!$J$80,IF(E5&gt;=15,배점기준!$I$80,IF(E5&gt;=10,배점기준!$H$80,IF(E5&gt;=5,배점기준!$G$80,IF(E5&gt;=2,배점기준!$F$80,IF(E5&gt;=1,배점기준!$E$80,0))))))*-1</f>
        <v>0</v>
      </c>
      <c r="H5" s="248"/>
    </row>
    <row r="6" spans="1:8" s="247" customFormat="1" ht="30" customHeight="1">
      <c r="A6" s="246"/>
      <c r="B6" s="679" t="str">
        <f>신용도!B14</f>
        <v>＊＊엔지니어링</v>
      </c>
      <c r="C6" s="680">
        <v>0.33</v>
      </c>
      <c r="D6" s="700" t="s">
        <v>483</v>
      </c>
      <c r="E6" s="681">
        <v>0.13</v>
      </c>
      <c r="F6" s="682">
        <v>0</v>
      </c>
      <c r="H6" s="248"/>
    </row>
    <row r="7" spans="1:8" s="247" customFormat="1" ht="30" customHeight="1" thickBot="1">
      <c r="A7" s="246"/>
      <c r="B7" s="635" t="str">
        <f>신용도!B8</f>
        <v>☆☆엔지니어링</v>
      </c>
      <c r="C7" s="636">
        <v>0.25</v>
      </c>
      <c r="D7" s="637" t="s">
        <v>484</v>
      </c>
      <c r="E7" s="683">
        <v>0.1</v>
      </c>
      <c r="F7" s="638">
        <f>IF(E7&gt;=20,배점기준!$J$80,IF(E7&gt;=15,배점기준!$I$80,IF(E7&gt;=10,배점기준!$H$80,IF(E7&gt;=5,배점기준!$G$80,IF(E7&gt;=2,배점기준!$F$80,IF(E7&gt;=1,배점기준!$E$80,0))))))*-1</f>
        <v>0</v>
      </c>
      <c r="H7" s="248"/>
    </row>
    <row r="8" spans="1:8" s="247" customFormat="1" ht="9.75" customHeight="1">
      <c r="A8" s="246"/>
      <c r="B8" s="422"/>
      <c r="C8" s="422"/>
      <c r="D8" s="422"/>
      <c r="E8" s="422"/>
      <c r="F8" s="422"/>
      <c r="H8" s="248"/>
    </row>
    <row r="9" spans="1:8" s="244" customFormat="1" ht="23.25" customHeight="1" thickBot="1">
      <c r="A9" s="243"/>
      <c r="B9" s="423" t="s">
        <v>32</v>
      </c>
      <c r="C9" s="424"/>
      <c r="D9" s="424"/>
      <c r="E9" s="424"/>
      <c r="F9" s="424"/>
      <c r="H9" s="245"/>
    </row>
    <row r="10" spans="1:8" s="247" customFormat="1" ht="22.5" customHeight="1">
      <c r="A10" s="246"/>
      <c r="B10" s="425" t="s">
        <v>30</v>
      </c>
      <c r="C10" s="426" t="s">
        <v>33</v>
      </c>
      <c r="D10" s="426" t="s">
        <v>31</v>
      </c>
      <c r="E10" s="427" t="s">
        <v>91</v>
      </c>
      <c r="F10" s="428" t="s">
        <v>89</v>
      </c>
      <c r="H10" s="248"/>
    </row>
    <row r="11" spans="1:8" s="247" customFormat="1" ht="19.5" customHeight="1">
      <c r="A11" s="246"/>
      <c r="B11" s="416" t="s">
        <v>764</v>
      </c>
      <c r="C11" s="514"/>
      <c r="D11" s="538" t="s">
        <v>622</v>
      </c>
      <c r="E11" s="539">
        <v>0</v>
      </c>
      <c r="F11" s="523">
        <f>IF(E11&gt;=20,배점기준!$J$80,IF(E11&gt;=15,배점기준!$I$80,IF(E11&gt;=10,배점기준!$H$80,IF(E11&gt;=5,배점기준!$G$80,IF(E11&gt;=2,배점기준!$F$80,IF(E11&gt;=1,배점기준!$E$80,0))))))*-1</f>
        <v>0</v>
      </c>
      <c r="H11" s="248"/>
    </row>
    <row r="12" spans="1:8" s="247" customFormat="1" ht="19.5" customHeight="1">
      <c r="A12" s="246"/>
      <c r="B12" s="416" t="s">
        <v>762</v>
      </c>
      <c r="C12" s="514"/>
      <c r="D12" s="538" t="s">
        <v>690</v>
      </c>
      <c r="E12" s="539">
        <v>0</v>
      </c>
      <c r="F12" s="523">
        <f>IF(E12&gt;=20,배점기준!$J$80,IF(E12&gt;=15,배점기준!$I$80,IF(E12&gt;=10,배점기준!$H$80,IF(E12&gt;=5,배점기준!$G$80,IF(E12&gt;=2,배점기준!$F$80,IF(E12&gt;=1,배점기준!$E$80,0))))))*-1</f>
        <v>0</v>
      </c>
      <c r="H12" s="248"/>
    </row>
    <row r="13" spans="1:8" s="247" customFormat="1" ht="19.5" customHeight="1">
      <c r="A13" s="246"/>
      <c r="B13" s="416" t="s">
        <v>20</v>
      </c>
      <c r="C13" s="514"/>
      <c r="D13" s="538" t="s">
        <v>622</v>
      </c>
      <c r="E13" s="539">
        <v>0</v>
      </c>
      <c r="F13" s="523">
        <f>IF(E13&gt;=20,배점기준!$J$80,IF(E13&gt;=15,배점기준!$I$80,IF(E13&gt;=10,배점기준!$H$80,IF(E13&gt;=5,배점기준!$G$80,IF(E13&gt;=2,배점기준!$F$80,IF(E13&gt;=1,배점기준!$E$80,0))))))*-1</f>
        <v>0</v>
      </c>
      <c r="H13" s="248"/>
    </row>
    <row r="14" spans="1:8" s="247" customFormat="1" ht="19.5" customHeight="1">
      <c r="A14" s="246"/>
      <c r="B14" s="416" t="s">
        <v>21</v>
      </c>
      <c r="C14" s="514"/>
      <c r="D14" s="538" t="s">
        <v>622</v>
      </c>
      <c r="E14" s="539">
        <v>0</v>
      </c>
      <c r="F14" s="523">
        <f>IF(E14&gt;=20,배점기준!$J$80,IF(E14&gt;=15,배점기준!$I$80,IF(E14&gt;=10,배점기준!$H$80,IF(E14&gt;=5,배점기준!$G$80,IF(E14&gt;=2,배점기준!$F$80,IF(E14&gt;=1,배점기준!$E$80,0))))))*-1</f>
        <v>0</v>
      </c>
      <c r="H14" s="248"/>
    </row>
    <row r="15" spans="1:8" s="247" customFormat="1" ht="19.5" customHeight="1">
      <c r="A15" s="246"/>
      <c r="B15" s="416" t="s">
        <v>22</v>
      </c>
      <c r="C15" s="514"/>
      <c r="D15" s="538" t="s">
        <v>622</v>
      </c>
      <c r="E15" s="539">
        <v>0</v>
      </c>
      <c r="F15" s="523">
        <f>IF(E15&gt;=20,배점기준!$J$80,IF(E15&gt;=15,배점기준!$I$80,IF(E15&gt;=10,배점기준!$H$80,IF(E15&gt;=5,배점기준!$G$80,IF(E15&gt;=2,배점기준!$F$80,IF(E15&gt;=1,배점기준!$E$80,0))))))*-1</f>
        <v>0</v>
      </c>
      <c r="H15" s="248"/>
    </row>
    <row r="16" spans="1:8" s="247" customFormat="1" ht="19.5" customHeight="1">
      <c r="A16" s="246"/>
      <c r="B16" s="416" t="s">
        <v>23</v>
      </c>
      <c r="C16" s="514"/>
      <c r="D16" s="538" t="s">
        <v>622</v>
      </c>
      <c r="E16" s="539">
        <v>0</v>
      </c>
      <c r="F16" s="523">
        <f>IF(E16&gt;=20,배점기준!$J$80,IF(E16&gt;=15,배점기준!$I$80,IF(E16&gt;=10,배점기준!$H$80,IF(E16&gt;=5,배점기준!$G$80,IF(E16&gt;=2,배점기준!$F$80,IF(E16&gt;=1,배점기준!$E$80,0))))))*-1</f>
        <v>0</v>
      </c>
      <c r="H16" s="248"/>
    </row>
    <row r="17" spans="1:8" s="247" customFormat="1" ht="19.5" customHeight="1">
      <c r="A17" s="246"/>
      <c r="B17" s="417" t="s">
        <v>24</v>
      </c>
      <c r="C17" s="514"/>
      <c r="D17" s="538" t="s">
        <v>622</v>
      </c>
      <c r="E17" s="539">
        <v>0</v>
      </c>
      <c r="F17" s="523">
        <f>IF(E17&gt;=20,배점기준!$J$80,IF(E17&gt;=15,배점기준!$I$80,IF(E17&gt;=10,배점기준!$H$80,IF(E17&gt;=5,배점기준!$G$80,IF(E17&gt;=2,배점기준!$F$80,IF(E17&gt;=1,배점기준!$E$80,0))))))*-1</f>
        <v>0</v>
      </c>
      <c r="H17" s="248"/>
    </row>
    <row r="18" spans="1:8" s="247" customFormat="1" ht="19.5" customHeight="1">
      <c r="A18" s="246"/>
      <c r="B18" s="416" t="s">
        <v>25</v>
      </c>
      <c r="C18" s="514"/>
      <c r="D18" s="538" t="s">
        <v>622</v>
      </c>
      <c r="E18" s="539">
        <v>0</v>
      </c>
      <c r="F18" s="523">
        <f>IF(E18&gt;=20,배점기준!$J$80,IF(E18&gt;=15,배점기준!$I$80,IF(E18&gt;=10,배점기준!$H$80,IF(E18&gt;=5,배점기준!$G$80,IF(E18&gt;=2,배점기준!$F$80,IF(E18&gt;=1,배점기준!$E$80,0))))))*-1</f>
        <v>0</v>
      </c>
      <c r="H18" s="248"/>
    </row>
    <row r="19" spans="1:8" s="247" customFormat="1" ht="19.5" customHeight="1">
      <c r="A19" s="246"/>
      <c r="B19" s="582" t="s">
        <v>27</v>
      </c>
      <c r="C19" s="514"/>
      <c r="D19" s="538" t="s">
        <v>622</v>
      </c>
      <c r="E19" s="539">
        <v>0</v>
      </c>
      <c r="F19" s="523">
        <f>IF(E19&gt;=20,배점기준!$J$80,IF(E19&gt;=15,배점기준!$I$80,IF(E19&gt;=10,배점기준!$H$80,IF(E19&gt;=5,배점기준!$G$80,IF(E19&gt;=2,배점기준!$F$80,IF(E19&gt;=1,배점기준!$E$80,0))))))*-1</f>
        <v>0</v>
      </c>
      <c r="H19" s="248"/>
    </row>
    <row r="20" spans="1:8" s="247" customFormat="1" ht="19.5" customHeight="1">
      <c r="A20" s="246"/>
      <c r="B20" s="416" t="s">
        <v>26</v>
      </c>
      <c r="C20" s="514"/>
      <c r="D20" s="538" t="s">
        <v>622</v>
      </c>
      <c r="E20" s="539">
        <v>0</v>
      </c>
      <c r="F20" s="523">
        <f>IF(E20&gt;=20,배점기준!$J$80,IF(E20&gt;=15,배점기준!$I$80,IF(E20&gt;=10,배점기준!$H$80,IF(E20&gt;=5,배점기준!$G$80,IF(E20&gt;=2,배점기준!$F$80,IF(E20&gt;=1,배점기준!$E$80,0))))))*-1</f>
        <v>0</v>
      </c>
      <c r="H20" s="248"/>
    </row>
    <row r="21" spans="1:8" s="247" customFormat="1" ht="19.5" customHeight="1">
      <c r="A21" s="246"/>
      <c r="B21" s="416" t="s">
        <v>767</v>
      </c>
      <c r="C21" s="514"/>
      <c r="D21" s="538" t="s">
        <v>622</v>
      </c>
      <c r="E21" s="539">
        <v>0</v>
      </c>
      <c r="F21" s="523">
        <f>IF(E21&gt;=20,배점기준!$J$80,IF(E21&gt;=15,배점기준!$I$80,IF(E21&gt;=10,배점기준!$H$80,IF(E21&gt;=5,배점기준!$G$80,IF(E21&gt;=2,배점기준!$F$80,IF(E21&gt;=1,배점기준!$E$80,0))))))*-1</f>
        <v>0</v>
      </c>
      <c r="H21" s="248"/>
    </row>
    <row r="22" spans="1:8" s="244" customFormat="1" ht="22.5" customHeight="1" thickBot="1">
      <c r="A22" s="242"/>
      <c r="B22" s="429" t="s">
        <v>290</v>
      </c>
      <c r="C22" s="430"/>
      <c r="D22" s="431"/>
      <c r="E22" s="432"/>
      <c r="F22" s="521">
        <f>SUM(F11:F21)</f>
        <v>0</v>
      </c>
      <c r="H22" s="245"/>
    </row>
    <row r="23" spans="1:8" s="244" customFormat="1" ht="10.5">
      <c r="A23" s="243"/>
      <c r="B23" s="243"/>
      <c r="C23" s="243"/>
      <c r="D23" s="243"/>
      <c r="E23" s="243"/>
      <c r="F23" s="243"/>
      <c r="H23" s="245"/>
    </row>
    <row r="24" spans="1:8" s="244" customFormat="1" ht="15.95" customHeight="1">
      <c r="A24" s="243"/>
      <c r="B24" s="243"/>
      <c r="C24" s="243"/>
      <c r="D24" s="243"/>
      <c r="E24" s="243"/>
      <c r="F24" s="243"/>
      <c r="H24" s="245"/>
    </row>
    <row r="25" spans="1:8" s="244" customFormat="1" ht="15.95" customHeight="1">
      <c r="A25" s="243"/>
      <c r="B25" s="243"/>
      <c r="C25" s="243"/>
      <c r="D25" s="243"/>
      <c r="E25" s="243"/>
      <c r="F25" s="243"/>
      <c r="H25" s="245"/>
    </row>
    <row r="26" spans="1:8" s="244" customFormat="1" ht="15.95" customHeight="1">
      <c r="A26" s="243"/>
      <c r="B26" s="243"/>
      <c r="C26" s="243"/>
      <c r="D26" s="243"/>
      <c r="E26" s="243"/>
      <c r="F26" s="243"/>
      <c r="H26" s="245"/>
    </row>
    <row r="27" spans="1:8" s="244" customFormat="1" ht="10.5">
      <c r="A27" s="243"/>
      <c r="B27" s="243"/>
      <c r="C27" s="243"/>
      <c r="D27" s="243"/>
      <c r="E27" s="243"/>
      <c r="F27" s="243"/>
      <c r="H27" s="245"/>
    </row>
    <row r="28" spans="1:8" s="244" customFormat="1" ht="15.95" customHeight="1">
      <c r="A28" s="243"/>
      <c r="B28" s="243"/>
      <c r="C28" s="243"/>
      <c r="D28" s="243"/>
      <c r="E28" s="243"/>
      <c r="F28" s="243"/>
      <c r="H28" s="245"/>
    </row>
    <row r="29" spans="1:8" s="244" customFormat="1" ht="15.95" customHeight="1">
      <c r="A29" s="243"/>
      <c r="B29" s="243"/>
      <c r="C29" s="243"/>
      <c r="D29" s="243"/>
      <c r="E29" s="243"/>
      <c r="F29" s="243"/>
      <c r="H29" s="245"/>
    </row>
    <row r="30" spans="1:8" s="244" customFormat="1" ht="15.95" customHeight="1">
      <c r="A30" s="243"/>
      <c r="B30" s="243"/>
      <c r="C30" s="243"/>
      <c r="D30" s="243"/>
      <c r="E30" s="243"/>
      <c r="F30" s="243"/>
      <c r="H30" s="245"/>
    </row>
    <row r="31" spans="1:8" s="244" customFormat="1" ht="15.95" customHeight="1">
      <c r="A31" s="243"/>
      <c r="B31" s="243"/>
      <c r="C31" s="243"/>
      <c r="D31" s="243"/>
      <c r="E31" s="243"/>
      <c r="F31" s="243"/>
      <c r="H31" s="245"/>
    </row>
    <row r="32" spans="1:8" s="244" customFormat="1" ht="15.95" customHeight="1">
      <c r="A32" s="243"/>
      <c r="B32" s="243"/>
      <c r="C32" s="243"/>
      <c r="D32" s="243"/>
      <c r="E32" s="243"/>
      <c r="F32" s="243"/>
      <c r="H32" s="245"/>
    </row>
    <row r="33" spans="1:8" s="244" customFormat="1" ht="15.95" customHeight="1">
      <c r="A33" s="243"/>
      <c r="B33" s="243"/>
      <c r="C33" s="243"/>
      <c r="D33" s="243"/>
      <c r="E33" s="243"/>
      <c r="F33" s="243"/>
      <c r="H33" s="245"/>
    </row>
    <row r="34" spans="1:8" s="244" customFormat="1" ht="15.95" customHeight="1">
      <c r="A34" s="243"/>
      <c r="B34" s="243"/>
      <c r="C34" s="243"/>
      <c r="D34" s="243"/>
      <c r="E34" s="243"/>
      <c r="F34" s="243"/>
      <c r="H34" s="245"/>
    </row>
    <row r="35" spans="1:8" s="244" customFormat="1" ht="10.5">
      <c r="A35" s="243"/>
      <c r="B35" s="243"/>
      <c r="C35" s="243"/>
      <c r="D35" s="243"/>
      <c r="E35" s="243"/>
      <c r="F35" s="243"/>
      <c r="H35" s="245"/>
    </row>
    <row r="36" spans="1:8" s="244" customFormat="1" ht="15.95" customHeight="1">
      <c r="A36" s="243"/>
      <c r="B36" s="243"/>
      <c r="C36" s="243"/>
      <c r="D36" s="243"/>
      <c r="E36" s="243"/>
      <c r="F36" s="243"/>
      <c r="H36" s="245"/>
    </row>
    <row r="37" spans="1:8" s="244" customFormat="1" ht="15.95" customHeight="1">
      <c r="A37" s="243"/>
      <c r="B37" s="243"/>
      <c r="C37" s="243"/>
      <c r="D37" s="243"/>
      <c r="E37" s="243"/>
      <c r="F37" s="243"/>
      <c r="H37" s="245"/>
    </row>
    <row r="38" spans="1:8" s="244" customFormat="1" ht="15.95" customHeight="1">
      <c r="A38" s="243"/>
      <c r="B38" s="243"/>
      <c r="C38" s="243"/>
      <c r="D38" s="243"/>
      <c r="E38" s="243"/>
      <c r="F38" s="243"/>
      <c r="H38" s="245"/>
    </row>
    <row r="39" spans="1:8" s="244" customFormat="1" ht="15.95" customHeight="1">
      <c r="A39" s="243"/>
      <c r="B39" s="243"/>
      <c r="C39" s="243"/>
      <c r="D39" s="243"/>
      <c r="E39" s="243"/>
      <c r="F39" s="243"/>
      <c r="H39" s="245"/>
    </row>
    <row r="40" spans="1:8" s="244" customFormat="1" ht="15.95" customHeight="1">
      <c r="A40" s="243"/>
      <c r="B40" s="243"/>
      <c r="C40" s="243"/>
      <c r="D40" s="243"/>
      <c r="E40" s="243"/>
      <c r="F40" s="243"/>
      <c r="H40" s="245"/>
    </row>
    <row r="41" spans="1:8" s="244" customFormat="1" ht="15.95" customHeight="1">
      <c r="A41" s="243"/>
      <c r="B41" s="243"/>
      <c r="C41" s="243"/>
      <c r="D41" s="243"/>
      <c r="E41" s="243"/>
      <c r="F41" s="243"/>
      <c r="H41" s="245"/>
    </row>
    <row r="42" spans="1:8" s="244" customFormat="1" ht="15.95" customHeight="1">
      <c r="A42" s="243"/>
      <c r="B42" s="243"/>
      <c r="C42" s="243"/>
      <c r="D42" s="243"/>
      <c r="E42" s="243"/>
      <c r="F42" s="243"/>
      <c r="H42" s="245"/>
    </row>
    <row r="43" spans="1:8" s="244" customFormat="1" ht="10.5">
      <c r="A43" s="243"/>
      <c r="B43" s="243"/>
      <c r="C43" s="243"/>
      <c r="D43" s="243"/>
      <c r="E43" s="243"/>
      <c r="F43" s="243"/>
      <c r="H43" s="245"/>
    </row>
    <row r="44" spans="1:8" s="244" customFormat="1" ht="15.95" customHeight="1">
      <c r="A44" s="243"/>
      <c r="B44" s="243"/>
      <c r="C44" s="243"/>
      <c r="D44" s="243"/>
      <c r="E44" s="243"/>
      <c r="F44" s="243"/>
      <c r="H44" s="245"/>
    </row>
    <row r="45" spans="1:8" s="244" customFormat="1" ht="15.95" customHeight="1">
      <c r="A45" s="243"/>
      <c r="B45" s="243"/>
      <c r="C45" s="243"/>
      <c r="D45" s="243"/>
      <c r="E45" s="243"/>
      <c r="F45" s="243"/>
      <c r="H45" s="245"/>
    </row>
    <row r="46" spans="1:8" s="244" customFormat="1" ht="15.95" customHeight="1">
      <c r="A46" s="243"/>
      <c r="B46" s="243"/>
      <c r="C46" s="243"/>
      <c r="D46" s="243"/>
      <c r="E46" s="243"/>
      <c r="F46" s="243"/>
      <c r="H46" s="245"/>
    </row>
    <row r="47" spans="1:8" s="244" customFormat="1" ht="15.95" customHeight="1">
      <c r="A47" s="243"/>
      <c r="B47" s="243"/>
      <c r="C47" s="243"/>
      <c r="D47" s="243"/>
      <c r="E47" s="243"/>
      <c r="F47" s="243"/>
      <c r="H47" s="245"/>
    </row>
    <row r="48" spans="1:8" s="244" customFormat="1" ht="15.95" customHeight="1">
      <c r="A48" s="243"/>
      <c r="B48" s="243"/>
      <c r="C48" s="243"/>
      <c r="D48" s="243"/>
      <c r="E48" s="243"/>
      <c r="F48" s="243"/>
      <c r="H48" s="245"/>
    </row>
    <row r="49" spans="1:17" s="244" customFormat="1" ht="15.95" customHeight="1">
      <c r="A49" s="243"/>
      <c r="B49" s="243"/>
      <c r="C49" s="243"/>
      <c r="D49" s="243"/>
      <c r="E49" s="243"/>
      <c r="F49" s="243"/>
      <c r="H49" s="245"/>
    </row>
    <row r="50" spans="1:17" s="244" customFormat="1" ht="15.95" customHeight="1">
      <c r="A50" s="243"/>
      <c r="B50" s="243"/>
      <c r="C50" s="243"/>
      <c r="D50" s="243"/>
      <c r="E50" s="243"/>
      <c r="F50" s="243"/>
      <c r="G50" s="243"/>
      <c r="H50" s="243"/>
      <c r="I50" s="243"/>
      <c r="J50" s="243"/>
      <c r="K50" s="243"/>
      <c r="L50" s="243"/>
      <c r="M50" s="243"/>
      <c r="N50" s="243"/>
      <c r="O50" s="243"/>
      <c r="Q50" s="245"/>
    </row>
    <row r="51" spans="1:17" s="244" customFormat="1" ht="15.95" customHeight="1">
      <c r="A51" s="243"/>
      <c r="B51" s="243"/>
      <c r="C51" s="243"/>
      <c r="D51" s="243"/>
      <c r="E51" s="243"/>
      <c r="F51" s="243"/>
      <c r="G51" s="243"/>
      <c r="H51" s="243"/>
      <c r="I51" s="243"/>
      <c r="J51" s="243"/>
      <c r="K51" s="243"/>
      <c r="L51" s="243"/>
      <c r="M51" s="243"/>
      <c r="N51" s="243"/>
      <c r="O51" s="243"/>
      <c r="Q51" s="245"/>
    </row>
    <row r="52" spans="1:17" s="244" customFormat="1" ht="15.95" customHeight="1">
      <c r="A52" s="243"/>
      <c r="B52" s="243"/>
      <c r="C52" s="243"/>
      <c r="D52" s="243"/>
      <c r="E52" s="243"/>
      <c r="F52" s="243"/>
      <c r="G52" s="243"/>
      <c r="H52" s="243"/>
      <c r="I52" s="243"/>
      <c r="J52" s="243"/>
      <c r="K52" s="243"/>
      <c r="L52" s="243"/>
      <c r="M52" s="243"/>
      <c r="N52" s="243"/>
      <c r="O52" s="243"/>
      <c r="Q52" s="245"/>
    </row>
    <row r="53" spans="1:17" s="244" customFormat="1" ht="15.95" customHeight="1">
      <c r="A53" s="243"/>
      <c r="B53" s="243"/>
      <c r="C53" s="243"/>
      <c r="D53" s="243"/>
      <c r="E53" s="243"/>
      <c r="F53" s="243"/>
      <c r="G53" s="243"/>
      <c r="H53" s="243"/>
      <c r="I53" s="243"/>
      <c r="J53" s="243"/>
      <c r="K53" s="243"/>
      <c r="L53" s="243"/>
      <c r="M53" s="243"/>
      <c r="N53" s="243"/>
      <c r="O53" s="243"/>
      <c r="Q53" s="245"/>
    </row>
    <row r="54" spans="1:17" s="244" customFormat="1" ht="15.95" customHeight="1">
      <c r="A54" s="243"/>
      <c r="B54" s="243"/>
      <c r="C54" s="243"/>
      <c r="D54" s="243"/>
      <c r="E54" s="243"/>
      <c r="F54" s="243"/>
      <c r="G54" s="243"/>
      <c r="H54" s="243"/>
      <c r="I54" s="243"/>
      <c r="J54" s="243"/>
      <c r="K54" s="243"/>
      <c r="L54" s="243"/>
      <c r="M54" s="243"/>
      <c r="N54" s="243"/>
      <c r="O54" s="243"/>
      <c r="Q54" s="245"/>
    </row>
    <row r="55" spans="1:17" s="244" customFormat="1" ht="15.95" customHeight="1">
      <c r="A55" s="243"/>
      <c r="B55" s="243"/>
      <c r="C55" s="243"/>
      <c r="D55" s="243"/>
      <c r="E55" s="243"/>
      <c r="F55" s="243"/>
      <c r="G55" s="243"/>
      <c r="H55" s="243"/>
      <c r="I55" s="243"/>
      <c r="J55" s="243"/>
      <c r="K55" s="243"/>
      <c r="L55" s="243"/>
      <c r="M55" s="243"/>
      <c r="N55" s="243"/>
      <c r="O55" s="243"/>
      <c r="Q55" s="245"/>
    </row>
    <row r="56" spans="1:17" s="244" customFormat="1" ht="15.95" customHeight="1">
      <c r="A56" s="243"/>
      <c r="B56" s="243"/>
      <c r="C56" s="243"/>
      <c r="D56" s="243"/>
      <c r="E56" s="243"/>
      <c r="F56" s="243"/>
      <c r="G56" s="243"/>
      <c r="H56" s="243"/>
      <c r="I56" s="243"/>
      <c r="J56" s="243"/>
      <c r="K56" s="243"/>
      <c r="L56" s="243"/>
      <c r="M56" s="243"/>
      <c r="N56" s="243"/>
      <c r="O56" s="243"/>
      <c r="Q56" s="245"/>
    </row>
    <row r="57" spans="1:17" s="244" customFormat="1" ht="15.95" customHeight="1">
      <c r="A57" s="243"/>
      <c r="B57" s="243"/>
      <c r="C57" s="243"/>
      <c r="D57" s="243"/>
      <c r="E57" s="243"/>
      <c r="F57" s="243"/>
      <c r="G57" s="243"/>
      <c r="H57" s="243"/>
      <c r="I57" s="243"/>
      <c r="J57" s="243"/>
      <c r="K57" s="243"/>
      <c r="L57" s="243"/>
      <c r="M57" s="243"/>
      <c r="N57" s="243"/>
      <c r="O57" s="243"/>
      <c r="Q57" s="245"/>
    </row>
    <row r="58" spans="1:17" s="244" customFormat="1" ht="15.95" customHeight="1">
      <c r="A58" s="243"/>
      <c r="B58" s="243"/>
      <c r="C58" s="243"/>
      <c r="D58" s="243"/>
      <c r="E58" s="243"/>
      <c r="F58" s="243"/>
      <c r="G58" s="243"/>
      <c r="H58" s="243"/>
      <c r="I58" s="243"/>
      <c r="J58" s="243"/>
      <c r="K58" s="243"/>
      <c r="L58" s="243"/>
      <c r="M58" s="243"/>
      <c r="N58" s="243"/>
      <c r="O58" s="243"/>
      <c r="Q58" s="245"/>
    </row>
    <row r="59" spans="1:17" s="244" customFormat="1" ht="15.95" customHeight="1">
      <c r="A59" s="243"/>
      <c r="B59" s="243"/>
      <c r="C59" s="243"/>
      <c r="D59" s="243"/>
      <c r="E59" s="243"/>
      <c r="F59" s="243"/>
      <c r="G59" s="243"/>
      <c r="H59" s="243"/>
      <c r="I59" s="243"/>
      <c r="J59" s="243"/>
      <c r="K59" s="243"/>
      <c r="L59" s="243"/>
      <c r="M59" s="243"/>
      <c r="N59" s="243"/>
      <c r="O59" s="243"/>
      <c r="Q59" s="245"/>
    </row>
    <row r="60" spans="1:17" s="244" customFormat="1" ht="15.95" customHeight="1">
      <c r="A60" s="243"/>
      <c r="B60" s="243"/>
      <c r="C60" s="243"/>
      <c r="D60" s="243"/>
      <c r="E60" s="243"/>
      <c r="F60" s="243"/>
      <c r="G60" s="243"/>
      <c r="H60" s="243"/>
      <c r="I60" s="243"/>
      <c r="J60" s="243"/>
      <c r="K60" s="243"/>
      <c r="L60" s="243"/>
      <c r="M60" s="243"/>
      <c r="N60" s="243"/>
      <c r="O60" s="243"/>
      <c r="Q60" s="245"/>
    </row>
    <row r="61" spans="1:17" s="244" customFormat="1" ht="15.95" customHeight="1">
      <c r="A61" s="243"/>
      <c r="B61" s="243"/>
      <c r="C61" s="243"/>
      <c r="D61" s="243"/>
      <c r="E61" s="243"/>
      <c r="F61" s="243"/>
      <c r="G61" s="243"/>
      <c r="H61" s="243"/>
      <c r="I61" s="243"/>
      <c r="J61" s="243"/>
      <c r="K61" s="243"/>
      <c r="L61" s="243"/>
      <c r="M61" s="243"/>
      <c r="N61" s="243"/>
      <c r="O61" s="243"/>
      <c r="Q61" s="245"/>
    </row>
    <row r="62" spans="1:17" s="244" customFormat="1" ht="15.95" customHeight="1">
      <c r="A62" s="243"/>
      <c r="B62" s="243"/>
      <c r="C62" s="243"/>
      <c r="D62" s="243"/>
      <c r="E62" s="243"/>
      <c r="F62" s="243"/>
      <c r="G62" s="243"/>
      <c r="H62" s="243"/>
      <c r="I62" s="243"/>
      <c r="J62" s="243"/>
      <c r="K62" s="243"/>
      <c r="L62" s="243"/>
      <c r="M62" s="243"/>
      <c r="N62" s="243"/>
      <c r="O62" s="243"/>
      <c r="Q62" s="245"/>
    </row>
    <row r="63" spans="1:17" s="244" customFormat="1" ht="15.95" customHeight="1">
      <c r="A63" s="243"/>
      <c r="B63" s="243"/>
      <c r="C63" s="243"/>
      <c r="D63" s="243"/>
      <c r="E63" s="243"/>
      <c r="F63" s="243"/>
      <c r="G63" s="243"/>
      <c r="H63" s="243"/>
      <c r="I63" s="243"/>
      <c r="J63" s="243"/>
      <c r="K63" s="243"/>
      <c r="L63" s="243"/>
      <c r="M63" s="243"/>
      <c r="N63" s="243"/>
      <c r="O63" s="243"/>
      <c r="Q63" s="245"/>
    </row>
    <row r="64" spans="1:17" s="244" customFormat="1" ht="15.95" customHeight="1">
      <c r="A64" s="243"/>
      <c r="B64" s="243"/>
      <c r="C64" s="243"/>
      <c r="D64" s="243"/>
      <c r="E64" s="243"/>
      <c r="F64" s="243"/>
      <c r="G64" s="243"/>
      <c r="H64" s="243"/>
      <c r="I64" s="243"/>
      <c r="J64" s="243"/>
      <c r="K64" s="243"/>
      <c r="L64" s="243"/>
      <c r="M64" s="243"/>
      <c r="N64" s="243"/>
      <c r="O64" s="243"/>
      <c r="Q64" s="245"/>
    </row>
    <row r="65" spans="1:17" s="244" customFormat="1" ht="15.95" customHeight="1">
      <c r="A65" s="243"/>
      <c r="B65" s="243"/>
      <c r="C65" s="243"/>
      <c r="D65" s="243"/>
      <c r="E65" s="243"/>
      <c r="F65" s="243"/>
      <c r="G65" s="243"/>
      <c r="H65" s="243"/>
      <c r="I65" s="243"/>
      <c r="J65" s="243"/>
      <c r="K65" s="243"/>
      <c r="L65" s="243"/>
      <c r="M65" s="243"/>
      <c r="N65" s="243"/>
      <c r="O65" s="243"/>
      <c r="Q65" s="245"/>
    </row>
    <row r="66" spans="1:17" s="244" customFormat="1" ht="15.95" customHeight="1">
      <c r="A66" s="243"/>
      <c r="B66" s="243"/>
      <c r="C66" s="243"/>
      <c r="D66" s="243"/>
      <c r="E66" s="243"/>
      <c r="F66" s="243"/>
      <c r="G66" s="243"/>
      <c r="H66" s="243"/>
      <c r="I66" s="243"/>
      <c r="J66" s="243"/>
      <c r="K66" s="243"/>
      <c r="L66" s="243"/>
      <c r="M66" s="243"/>
      <c r="N66" s="243"/>
      <c r="O66" s="243"/>
      <c r="Q66" s="245"/>
    </row>
    <row r="67" spans="1:17" s="244" customFormat="1" ht="15.95" customHeight="1">
      <c r="A67" s="243"/>
      <c r="B67" s="243"/>
      <c r="C67" s="243"/>
      <c r="D67" s="243"/>
      <c r="E67" s="243"/>
      <c r="F67" s="243"/>
      <c r="G67" s="243"/>
      <c r="H67" s="243"/>
      <c r="I67" s="243"/>
      <c r="J67" s="243"/>
      <c r="K67" s="243"/>
      <c r="L67" s="243"/>
      <c r="M67" s="243"/>
      <c r="N67" s="243"/>
      <c r="O67" s="243"/>
      <c r="Q67" s="245"/>
    </row>
    <row r="68" spans="1:17" s="244" customFormat="1" ht="15.95" customHeight="1">
      <c r="A68" s="243"/>
      <c r="B68" s="243"/>
      <c r="C68" s="243"/>
      <c r="D68" s="243"/>
      <c r="E68" s="243"/>
      <c r="F68" s="243"/>
      <c r="G68" s="243"/>
      <c r="H68" s="243"/>
      <c r="I68" s="243"/>
      <c r="J68" s="243"/>
      <c r="K68" s="243"/>
      <c r="L68" s="243"/>
      <c r="M68" s="243"/>
      <c r="N68" s="243"/>
      <c r="O68" s="243"/>
      <c r="Q68" s="245"/>
    </row>
    <row r="69" spans="1:17" s="244" customFormat="1" ht="15.95" customHeight="1">
      <c r="A69" s="243"/>
      <c r="B69" s="243"/>
      <c r="C69" s="243"/>
      <c r="D69" s="243"/>
      <c r="E69" s="243"/>
      <c r="F69" s="243"/>
      <c r="G69" s="243"/>
      <c r="H69" s="243"/>
      <c r="I69" s="243"/>
      <c r="J69" s="243"/>
      <c r="K69" s="243"/>
      <c r="L69" s="243"/>
      <c r="M69" s="243"/>
      <c r="N69" s="243"/>
      <c r="O69" s="243"/>
      <c r="Q69" s="245"/>
    </row>
    <row r="70" spans="1:17" s="244" customFormat="1" ht="15.95" customHeight="1">
      <c r="A70" s="243"/>
      <c r="B70" s="243"/>
      <c r="C70" s="243"/>
      <c r="D70" s="243"/>
      <c r="E70" s="243"/>
      <c r="F70" s="243"/>
      <c r="G70" s="243"/>
      <c r="H70" s="243"/>
      <c r="I70" s="243"/>
      <c r="J70" s="243"/>
      <c r="K70" s="243"/>
      <c r="L70" s="243"/>
      <c r="M70" s="243"/>
      <c r="N70" s="243"/>
      <c r="O70" s="243"/>
      <c r="Q70" s="245"/>
    </row>
    <row r="71" spans="1:17" s="244" customFormat="1" ht="15.95" customHeight="1">
      <c r="A71" s="243"/>
      <c r="B71" s="243"/>
      <c r="C71" s="243"/>
      <c r="D71" s="243"/>
      <c r="E71" s="243"/>
      <c r="F71" s="243"/>
      <c r="G71" s="243"/>
      <c r="H71" s="243"/>
      <c r="I71" s="243"/>
      <c r="J71" s="243"/>
      <c r="K71" s="243"/>
      <c r="L71" s="243"/>
      <c r="M71" s="243"/>
      <c r="N71" s="243"/>
      <c r="O71" s="243"/>
      <c r="Q71" s="245"/>
    </row>
    <row r="72" spans="1:17" s="244" customFormat="1" ht="15.95" customHeight="1">
      <c r="A72" s="243"/>
      <c r="B72" s="243"/>
      <c r="C72" s="243"/>
      <c r="D72" s="243"/>
      <c r="E72" s="243"/>
      <c r="F72" s="243"/>
      <c r="G72" s="243"/>
      <c r="H72" s="243"/>
      <c r="I72" s="243"/>
      <c r="J72" s="243"/>
      <c r="K72" s="243"/>
      <c r="L72" s="243"/>
      <c r="M72" s="243"/>
      <c r="N72" s="243"/>
      <c r="O72" s="243"/>
      <c r="Q72" s="245"/>
    </row>
    <row r="73" spans="1:17" s="244" customFormat="1" ht="15.95" customHeight="1">
      <c r="A73" s="243"/>
      <c r="B73" s="243"/>
      <c r="C73" s="243"/>
      <c r="D73" s="243"/>
      <c r="E73" s="243"/>
      <c r="F73" s="243"/>
      <c r="G73" s="243"/>
      <c r="H73" s="243"/>
      <c r="I73" s="243"/>
      <c r="J73" s="243"/>
      <c r="K73" s="243"/>
      <c r="L73" s="243"/>
      <c r="M73" s="243"/>
      <c r="N73" s="243"/>
      <c r="O73" s="243"/>
      <c r="Q73" s="245"/>
    </row>
    <row r="74" spans="1:17" s="244" customFormat="1" ht="15.95" customHeight="1">
      <c r="A74" s="243"/>
      <c r="B74" s="243"/>
      <c r="C74" s="243"/>
      <c r="D74" s="243"/>
      <c r="E74" s="243"/>
      <c r="F74" s="243"/>
      <c r="G74" s="243"/>
      <c r="H74" s="243"/>
      <c r="I74" s="243"/>
      <c r="J74" s="243"/>
      <c r="K74" s="243"/>
      <c r="L74" s="243"/>
      <c r="M74" s="243"/>
      <c r="N74" s="243"/>
      <c r="O74" s="243"/>
      <c r="Q74" s="245"/>
    </row>
    <row r="75" spans="1:17" s="244" customFormat="1" ht="15.95" customHeight="1">
      <c r="A75" s="243"/>
      <c r="B75" s="243"/>
      <c r="C75" s="243"/>
      <c r="D75" s="243"/>
      <c r="E75" s="243"/>
      <c r="F75" s="243"/>
      <c r="G75" s="243"/>
      <c r="H75" s="243"/>
      <c r="I75" s="243"/>
      <c r="J75" s="243"/>
      <c r="K75" s="243"/>
      <c r="L75" s="243"/>
      <c r="M75" s="243"/>
      <c r="N75" s="243"/>
      <c r="O75" s="243"/>
      <c r="Q75" s="245"/>
    </row>
    <row r="76" spans="1:17" s="244" customFormat="1" ht="15.95" customHeight="1">
      <c r="A76" s="243"/>
      <c r="B76" s="243"/>
      <c r="C76" s="243"/>
      <c r="D76" s="243"/>
      <c r="E76" s="243"/>
      <c r="F76" s="243"/>
      <c r="G76" s="243"/>
      <c r="H76" s="243"/>
      <c r="I76" s="243"/>
      <c r="J76" s="243"/>
      <c r="K76" s="243"/>
      <c r="L76" s="243"/>
      <c r="M76" s="243"/>
      <c r="N76" s="243"/>
      <c r="O76" s="243"/>
      <c r="Q76" s="245"/>
    </row>
    <row r="77" spans="1:17" s="244" customFormat="1" ht="15.95" customHeight="1">
      <c r="A77" s="243"/>
      <c r="B77" s="243"/>
      <c r="C77" s="243"/>
      <c r="D77" s="243"/>
      <c r="E77" s="243"/>
      <c r="F77" s="243"/>
      <c r="G77" s="243"/>
      <c r="H77" s="243"/>
      <c r="I77" s="243"/>
      <c r="J77" s="243"/>
      <c r="K77" s="243"/>
      <c r="L77" s="243"/>
      <c r="M77" s="243"/>
      <c r="N77" s="243"/>
      <c r="O77" s="243"/>
      <c r="Q77" s="245"/>
    </row>
    <row r="78" spans="1:17" s="244" customFormat="1" ht="15.95" customHeight="1">
      <c r="A78" s="243"/>
      <c r="B78" s="243"/>
      <c r="C78" s="243"/>
      <c r="D78" s="243"/>
      <c r="E78" s="243"/>
      <c r="F78" s="243"/>
      <c r="G78" s="243"/>
      <c r="H78" s="243"/>
      <c r="I78" s="243"/>
      <c r="J78" s="243"/>
      <c r="K78" s="243"/>
      <c r="L78" s="243"/>
      <c r="M78" s="243"/>
      <c r="N78" s="243"/>
      <c r="O78" s="243"/>
      <c r="Q78" s="245"/>
    </row>
    <row r="79" spans="1:17" s="244" customFormat="1" ht="15.95" customHeight="1">
      <c r="A79" s="243"/>
      <c r="B79" s="243"/>
      <c r="C79" s="243"/>
      <c r="D79" s="243"/>
      <c r="E79" s="243"/>
      <c r="F79" s="243"/>
      <c r="G79" s="243"/>
      <c r="H79" s="243"/>
      <c r="I79" s="243"/>
      <c r="J79" s="243"/>
      <c r="K79" s="243"/>
      <c r="L79" s="243"/>
      <c r="M79" s="243"/>
      <c r="N79" s="243"/>
      <c r="O79" s="243"/>
      <c r="Q79" s="245"/>
    </row>
    <row r="80" spans="1:17" s="244" customFormat="1" ht="15.95" customHeight="1">
      <c r="A80" s="243"/>
      <c r="B80" s="243"/>
      <c r="C80" s="243"/>
      <c r="D80" s="243"/>
      <c r="E80" s="243"/>
      <c r="F80" s="243"/>
      <c r="G80" s="243"/>
      <c r="H80" s="243"/>
      <c r="I80" s="243"/>
      <c r="J80" s="243"/>
      <c r="K80" s="243"/>
      <c r="L80" s="243"/>
      <c r="M80" s="243"/>
      <c r="N80" s="243"/>
      <c r="O80" s="243"/>
      <c r="Q80" s="245"/>
    </row>
    <row r="81" spans="1:17" s="244" customFormat="1" ht="15.95" customHeight="1">
      <c r="A81" s="243"/>
      <c r="B81" s="243"/>
      <c r="C81" s="243"/>
      <c r="D81" s="243"/>
      <c r="E81" s="243"/>
      <c r="F81" s="243"/>
      <c r="G81" s="243"/>
      <c r="H81" s="243"/>
      <c r="I81" s="243"/>
      <c r="J81" s="243"/>
      <c r="K81" s="243"/>
      <c r="L81" s="243"/>
      <c r="M81" s="243"/>
      <c r="N81" s="243"/>
      <c r="O81" s="243"/>
      <c r="Q81" s="245"/>
    </row>
    <row r="82" spans="1:17" s="244" customFormat="1" ht="15.95" customHeight="1">
      <c r="A82" s="243"/>
      <c r="B82" s="243"/>
      <c r="C82" s="243"/>
      <c r="D82" s="243"/>
      <c r="E82" s="243"/>
      <c r="F82" s="243"/>
      <c r="G82" s="243"/>
      <c r="H82" s="243"/>
      <c r="I82" s="243"/>
      <c r="J82" s="243"/>
      <c r="K82" s="243"/>
      <c r="L82" s="243"/>
      <c r="M82" s="243"/>
      <c r="N82" s="243"/>
      <c r="O82" s="243"/>
      <c r="Q82" s="245"/>
    </row>
    <row r="83" spans="1:17" s="244" customFormat="1" ht="15.95" customHeight="1">
      <c r="A83" s="243"/>
      <c r="B83" s="243"/>
      <c r="C83" s="243"/>
      <c r="D83" s="243"/>
      <c r="E83" s="243"/>
      <c r="F83" s="243"/>
      <c r="G83" s="243"/>
      <c r="H83" s="243"/>
      <c r="I83" s="243"/>
      <c r="J83" s="243"/>
      <c r="K83" s="243"/>
      <c r="L83" s="243"/>
      <c r="M83" s="243"/>
      <c r="N83" s="243"/>
      <c r="O83" s="243"/>
      <c r="Q83" s="245"/>
    </row>
    <row r="84" spans="1:17" s="244" customFormat="1" ht="15.95" customHeight="1">
      <c r="A84" s="243"/>
      <c r="B84" s="243"/>
      <c r="C84" s="243"/>
      <c r="D84" s="243"/>
      <c r="E84" s="243"/>
      <c r="F84" s="243"/>
      <c r="G84" s="243"/>
      <c r="H84" s="243"/>
      <c r="I84" s="243"/>
      <c r="J84" s="243"/>
      <c r="K84" s="243"/>
      <c r="L84" s="243"/>
      <c r="M84" s="243"/>
      <c r="N84" s="243"/>
      <c r="O84" s="243"/>
      <c r="Q84" s="245"/>
    </row>
    <row r="85" spans="1:17" s="244" customFormat="1" ht="15.95" customHeight="1">
      <c r="A85" s="243"/>
      <c r="B85" s="243"/>
      <c r="C85" s="243"/>
      <c r="D85" s="243"/>
      <c r="E85" s="243"/>
      <c r="F85" s="243"/>
      <c r="G85" s="243"/>
      <c r="H85" s="243"/>
      <c r="I85" s="243"/>
      <c r="J85" s="243"/>
      <c r="K85" s="243"/>
      <c r="L85" s="243"/>
      <c r="M85" s="243"/>
      <c r="N85" s="243"/>
      <c r="O85" s="243"/>
      <c r="Q85" s="245"/>
    </row>
    <row r="86" spans="1:17" s="244" customFormat="1" ht="15.95" customHeight="1">
      <c r="A86" s="243"/>
      <c r="B86" s="243"/>
      <c r="C86" s="243"/>
      <c r="D86" s="243"/>
      <c r="E86" s="243"/>
      <c r="F86" s="243"/>
      <c r="G86" s="243"/>
      <c r="H86" s="243"/>
      <c r="I86" s="243"/>
      <c r="J86" s="243"/>
      <c r="K86" s="243"/>
      <c r="L86" s="243"/>
      <c r="M86" s="243"/>
      <c r="N86" s="243"/>
      <c r="O86" s="243"/>
      <c r="Q86" s="245"/>
    </row>
    <row r="87" spans="1:17" s="244" customFormat="1" ht="15.95" customHeight="1">
      <c r="A87" s="243"/>
      <c r="B87" s="243"/>
      <c r="C87" s="243"/>
      <c r="D87" s="243"/>
      <c r="E87" s="243"/>
      <c r="F87" s="243"/>
      <c r="G87" s="243"/>
      <c r="H87" s="243"/>
      <c r="I87" s="243"/>
      <c r="J87" s="243"/>
      <c r="K87" s="243"/>
      <c r="L87" s="243"/>
      <c r="M87" s="243"/>
      <c r="N87" s="243"/>
      <c r="O87" s="243"/>
      <c r="Q87" s="245"/>
    </row>
    <row r="88" spans="1:17" s="244" customFormat="1" ht="15.95" customHeight="1">
      <c r="A88" s="243"/>
      <c r="B88" s="243"/>
      <c r="C88" s="243"/>
      <c r="D88" s="243"/>
      <c r="E88" s="243"/>
      <c r="F88" s="243"/>
      <c r="G88" s="243"/>
      <c r="H88" s="243"/>
      <c r="I88" s="243"/>
      <c r="J88" s="243"/>
      <c r="K88" s="243"/>
      <c r="L88" s="243"/>
      <c r="M88" s="243"/>
      <c r="N88" s="243"/>
      <c r="O88" s="243"/>
      <c r="Q88" s="245"/>
    </row>
    <row r="89" spans="1:17" s="244" customFormat="1" ht="15.95" customHeight="1">
      <c r="A89" s="243"/>
      <c r="B89" s="243"/>
      <c r="C89" s="243"/>
      <c r="D89" s="243"/>
      <c r="E89" s="243"/>
      <c r="F89" s="243"/>
      <c r="G89" s="243"/>
      <c r="H89" s="243"/>
      <c r="I89" s="243"/>
      <c r="J89" s="243"/>
      <c r="K89" s="243"/>
      <c r="L89" s="243"/>
      <c r="M89" s="243"/>
      <c r="N89" s="243"/>
      <c r="O89" s="243"/>
      <c r="Q89" s="245"/>
    </row>
    <row r="90" spans="1:17" s="244" customFormat="1" ht="15.95" customHeight="1">
      <c r="A90" s="243"/>
      <c r="B90" s="243"/>
      <c r="C90" s="243"/>
      <c r="D90" s="243"/>
      <c r="E90" s="243"/>
      <c r="F90" s="243"/>
      <c r="G90" s="243"/>
      <c r="H90" s="243"/>
      <c r="I90" s="243"/>
      <c r="J90" s="243"/>
      <c r="K90" s="243"/>
      <c r="L90" s="243"/>
      <c r="M90" s="243"/>
      <c r="N90" s="243"/>
      <c r="O90" s="243"/>
      <c r="Q90" s="245"/>
    </row>
    <row r="91" spans="1:17" s="244" customFormat="1" ht="15.95" customHeight="1">
      <c r="A91" s="243"/>
      <c r="B91" s="243"/>
      <c r="C91" s="243"/>
      <c r="D91" s="243"/>
      <c r="E91" s="243"/>
      <c r="F91" s="243"/>
      <c r="G91" s="243"/>
      <c r="H91" s="243"/>
      <c r="I91" s="243"/>
      <c r="J91" s="243"/>
      <c r="K91" s="243"/>
      <c r="L91" s="243"/>
      <c r="M91" s="243"/>
      <c r="N91" s="243"/>
      <c r="O91" s="243"/>
      <c r="Q91" s="245"/>
    </row>
    <row r="92" spans="1:17" s="244" customFormat="1" ht="15.95" customHeight="1">
      <c r="A92" s="243"/>
      <c r="B92" s="243"/>
      <c r="C92" s="243"/>
      <c r="D92" s="243"/>
      <c r="E92" s="243"/>
      <c r="F92" s="243"/>
      <c r="G92" s="243"/>
      <c r="H92" s="243"/>
      <c r="I92" s="243"/>
      <c r="J92" s="243"/>
      <c r="K92" s="243"/>
      <c r="L92" s="243"/>
      <c r="M92" s="243"/>
      <c r="N92" s="243"/>
      <c r="O92" s="243"/>
      <c r="Q92" s="245"/>
    </row>
    <row r="93" spans="1:17" s="244" customFormat="1" ht="15.95" customHeight="1">
      <c r="A93" s="243"/>
      <c r="B93" s="243"/>
      <c r="C93" s="243"/>
      <c r="D93" s="243"/>
      <c r="E93" s="243"/>
      <c r="F93" s="243"/>
      <c r="G93" s="243"/>
      <c r="H93" s="243"/>
      <c r="I93" s="243"/>
      <c r="J93" s="243"/>
      <c r="K93" s="243"/>
      <c r="L93" s="243"/>
      <c r="M93" s="243"/>
      <c r="N93" s="243"/>
      <c r="O93" s="243"/>
      <c r="Q93" s="245"/>
    </row>
    <row r="94" spans="1:17" s="244" customFormat="1" ht="15.95" customHeight="1">
      <c r="A94" s="243"/>
      <c r="B94" s="243"/>
      <c r="C94" s="243"/>
      <c r="D94" s="243"/>
      <c r="E94" s="243"/>
      <c r="F94" s="243"/>
      <c r="G94" s="243"/>
      <c r="H94" s="243"/>
      <c r="I94" s="243"/>
      <c r="J94" s="243"/>
      <c r="K94" s="243"/>
      <c r="L94" s="243"/>
      <c r="M94" s="243"/>
      <c r="N94" s="243"/>
      <c r="O94" s="243"/>
      <c r="Q94" s="245"/>
    </row>
    <row r="95" spans="1:17" s="244" customFormat="1" ht="15.95" customHeight="1">
      <c r="A95" s="243"/>
      <c r="B95" s="243"/>
      <c r="C95" s="243"/>
      <c r="D95" s="243"/>
      <c r="E95" s="243"/>
      <c r="F95" s="243"/>
      <c r="G95" s="243"/>
      <c r="H95" s="243"/>
      <c r="I95" s="243"/>
      <c r="J95" s="243"/>
      <c r="K95" s="243"/>
      <c r="L95" s="243"/>
      <c r="M95" s="243"/>
      <c r="N95" s="243"/>
      <c r="O95" s="243"/>
      <c r="Q95" s="245"/>
    </row>
    <row r="96" spans="1:17" s="244" customFormat="1" ht="15.95" customHeight="1">
      <c r="A96" s="243"/>
      <c r="B96" s="243"/>
      <c r="C96" s="243"/>
      <c r="D96" s="243"/>
      <c r="E96" s="243"/>
      <c r="F96" s="243"/>
      <c r="G96" s="243"/>
      <c r="H96" s="243"/>
      <c r="I96" s="243"/>
      <c r="J96" s="243"/>
      <c r="K96" s="243"/>
      <c r="L96" s="243"/>
      <c r="M96" s="243"/>
      <c r="N96" s="243"/>
      <c r="O96" s="243"/>
      <c r="Q96" s="245"/>
    </row>
    <row r="97" spans="1:17" s="244" customFormat="1" ht="15.95" customHeight="1">
      <c r="A97" s="243"/>
      <c r="B97" s="243"/>
      <c r="C97" s="243"/>
      <c r="D97" s="243"/>
      <c r="E97" s="243"/>
      <c r="F97" s="243"/>
      <c r="G97" s="243"/>
      <c r="H97" s="243"/>
      <c r="I97" s="243"/>
      <c r="J97" s="243"/>
      <c r="K97" s="243"/>
      <c r="L97" s="243"/>
      <c r="M97" s="243"/>
      <c r="N97" s="243"/>
      <c r="O97" s="243"/>
      <c r="Q97" s="245"/>
    </row>
    <row r="98" spans="1:17" s="244" customFormat="1" ht="15.95" customHeight="1">
      <c r="A98" s="243"/>
      <c r="B98" s="243"/>
      <c r="C98" s="243"/>
      <c r="D98" s="243"/>
      <c r="E98" s="243"/>
      <c r="F98" s="243"/>
      <c r="G98" s="243"/>
      <c r="H98" s="243"/>
      <c r="I98" s="243"/>
      <c r="J98" s="243"/>
      <c r="K98" s="243"/>
      <c r="L98" s="243"/>
      <c r="M98" s="243"/>
      <c r="N98" s="243"/>
      <c r="O98" s="243"/>
      <c r="Q98" s="245"/>
    </row>
    <row r="99" spans="1:17" s="244" customFormat="1" ht="15.95" customHeight="1">
      <c r="A99" s="243"/>
      <c r="B99" s="243"/>
      <c r="C99" s="243"/>
      <c r="D99" s="243"/>
      <c r="E99" s="243"/>
      <c r="F99" s="243"/>
      <c r="G99" s="243"/>
      <c r="H99" s="243"/>
      <c r="I99" s="243"/>
      <c r="J99" s="243"/>
      <c r="K99" s="243"/>
      <c r="L99" s="243"/>
      <c r="M99" s="243"/>
      <c r="N99" s="243"/>
      <c r="O99" s="243"/>
      <c r="Q99" s="245"/>
    </row>
    <row r="100" spans="1:17" s="244" customFormat="1" ht="15.95" customHeight="1">
      <c r="A100" s="243"/>
      <c r="B100" s="243"/>
      <c r="C100" s="243"/>
      <c r="D100" s="243"/>
      <c r="E100" s="243"/>
      <c r="F100" s="243"/>
      <c r="G100" s="243"/>
      <c r="H100" s="243"/>
      <c r="I100" s="243"/>
      <c r="J100" s="243"/>
      <c r="K100" s="243"/>
      <c r="L100" s="243"/>
      <c r="M100" s="243"/>
      <c r="N100" s="243"/>
      <c r="O100" s="243"/>
      <c r="Q100" s="245"/>
    </row>
    <row r="101" spans="1:17" s="244" customFormat="1" ht="15.95" customHeight="1">
      <c r="A101" s="243"/>
      <c r="B101" s="243"/>
      <c r="C101" s="243"/>
      <c r="D101" s="243"/>
      <c r="E101" s="243"/>
      <c r="F101" s="243"/>
      <c r="G101" s="243"/>
      <c r="H101" s="243"/>
      <c r="I101" s="243"/>
      <c r="J101" s="243"/>
      <c r="K101" s="243"/>
      <c r="L101" s="243"/>
      <c r="M101" s="243"/>
      <c r="N101" s="243"/>
      <c r="O101" s="243"/>
      <c r="Q101" s="245"/>
    </row>
    <row r="102" spans="1:17" s="244" customFormat="1" ht="15.95" customHeight="1">
      <c r="A102" s="243"/>
      <c r="B102" s="243"/>
      <c r="C102" s="243"/>
      <c r="D102" s="243"/>
      <c r="E102" s="243"/>
      <c r="F102" s="243"/>
      <c r="G102" s="243"/>
      <c r="H102" s="243"/>
      <c r="I102" s="243"/>
      <c r="J102" s="243"/>
      <c r="K102" s="243"/>
      <c r="L102" s="243"/>
      <c r="M102" s="243"/>
      <c r="N102" s="243"/>
      <c r="O102" s="243"/>
      <c r="Q102" s="245"/>
    </row>
    <row r="103" spans="1:17" s="244" customFormat="1" ht="15.95" customHeight="1">
      <c r="A103" s="243"/>
      <c r="B103" s="243"/>
      <c r="C103" s="243"/>
      <c r="D103" s="243"/>
      <c r="E103" s="243"/>
      <c r="F103" s="243"/>
      <c r="G103" s="243"/>
      <c r="H103" s="243"/>
      <c r="I103" s="243"/>
      <c r="J103" s="243"/>
      <c r="K103" s="243"/>
      <c r="L103" s="243"/>
      <c r="M103" s="243"/>
      <c r="N103" s="243"/>
      <c r="O103" s="243"/>
      <c r="Q103" s="245"/>
    </row>
    <row r="104" spans="1:17" s="244" customFormat="1" ht="15.95" customHeight="1">
      <c r="A104" s="243"/>
      <c r="B104" s="243"/>
      <c r="C104" s="243"/>
      <c r="D104" s="243"/>
      <c r="E104" s="243"/>
      <c r="F104" s="243"/>
      <c r="G104" s="243"/>
      <c r="H104" s="243"/>
      <c r="I104" s="243"/>
      <c r="J104" s="243"/>
      <c r="K104" s="243"/>
      <c r="L104" s="243"/>
      <c r="M104" s="243"/>
      <c r="N104" s="243"/>
      <c r="O104" s="243"/>
      <c r="Q104" s="245"/>
    </row>
    <row r="105" spans="1:17" s="244" customFormat="1" ht="15.95" customHeight="1">
      <c r="A105" s="243"/>
      <c r="B105" s="243"/>
      <c r="C105" s="243"/>
      <c r="D105" s="243"/>
      <c r="E105" s="243"/>
      <c r="F105" s="243"/>
      <c r="G105" s="243"/>
      <c r="H105" s="243"/>
      <c r="I105" s="243"/>
      <c r="J105" s="243"/>
      <c r="K105" s="243"/>
      <c r="L105" s="243"/>
      <c r="M105" s="243"/>
      <c r="N105" s="243"/>
      <c r="O105" s="243"/>
      <c r="Q105" s="245"/>
    </row>
    <row r="106" spans="1:17" s="244" customFormat="1" ht="15.95" customHeight="1">
      <c r="A106" s="243"/>
      <c r="B106" s="243"/>
      <c r="C106" s="243"/>
      <c r="D106" s="243"/>
      <c r="E106" s="243"/>
      <c r="F106" s="243"/>
      <c r="G106" s="243"/>
      <c r="H106" s="243"/>
      <c r="I106" s="243"/>
      <c r="J106" s="243"/>
      <c r="K106" s="243"/>
      <c r="L106" s="243"/>
      <c r="M106" s="243"/>
      <c r="N106" s="243"/>
      <c r="O106" s="243"/>
      <c r="Q106" s="245"/>
    </row>
    <row r="107" spans="1:17" s="244" customFormat="1" ht="15.95" customHeight="1">
      <c r="A107" s="243"/>
      <c r="B107" s="243"/>
      <c r="C107" s="243"/>
      <c r="D107" s="243"/>
      <c r="E107" s="243"/>
      <c r="F107" s="243"/>
      <c r="G107" s="243"/>
      <c r="H107" s="243"/>
      <c r="I107" s="243"/>
      <c r="J107" s="243"/>
      <c r="K107" s="243"/>
      <c r="L107" s="243"/>
      <c r="M107" s="243"/>
      <c r="N107" s="243"/>
      <c r="O107" s="243"/>
      <c r="Q107" s="245"/>
    </row>
    <row r="108" spans="1:17" s="244" customFormat="1" ht="15.95" customHeight="1">
      <c r="A108" s="243"/>
      <c r="B108" s="243"/>
      <c r="C108" s="243"/>
      <c r="D108" s="243"/>
      <c r="E108" s="243"/>
      <c r="F108" s="243"/>
      <c r="G108" s="243"/>
      <c r="H108" s="243"/>
      <c r="I108" s="243"/>
      <c r="J108" s="243"/>
      <c r="K108" s="243"/>
      <c r="L108" s="243"/>
      <c r="M108" s="243"/>
      <c r="N108" s="243"/>
      <c r="O108" s="243"/>
      <c r="Q108" s="245"/>
    </row>
    <row r="109" spans="1:17" s="244" customFormat="1" ht="15.95" customHeight="1">
      <c r="A109" s="243"/>
      <c r="B109" s="243"/>
      <c r="C109" s="243"/>
      <c r="D109" s="243"/>
      <c r="E109" s="243"/>
      <c r="F109" s="243"/>
      <c r="G109" s="243"/>
      <c r="H109" s="243"/>
      <c r="I109" s="243"/>
      <c r="J109" s="243"/>
      <c r="K109" s="243"/>
      <c r="L109" s="243"/>
      <c r="M109" s="243"/>
      <c r="N109" s="243"/>
      <c r="O109" s="243"/>
      <c r="Q109" s="245"/>
    </row>
    <row r="110" spans="1:17" s="244" customFormat="1" ht="15.95" customHeight="1">
      <c r="A110" s="243"/>
      <c r="B110" s="243"/>
      <c r="C110" s="243"/>
      <c r="D110" s="243"/>
      <c r="E110" s="243"/>
      <c r="F110" s="243"/>
      <c r="G110" s="243"/>
      <c r="H110" s="243"/>
      <c r="I110" s="243"/>
      <c r="J110" s="243"/>
      <c r="K110" s="243"/>
      <c r="L110" s="243"/>
      <c r="M110" s="243"/>
      <c r="N110" s="243"/>
      <c r="O110" s="243"/>
      <c r="Q110" s="245"/>
    </row>
    <row r="111" spans="1:17" s="244" customFormat="1" ht="15.95" customHeight="1">
      <c r="A111" s="243"/>
      <c r="B111" s="243"/>
      <c r="C111" s="243"/>
      <c r="D111" s="243"/>
      <c r="E111" s="243"/>
      <c r="F111" s="243"/>
      <c r="G111" s="243"/>
      <c r="H111" s="243"/>
      <c r="I111" s="243"/>
      <c r="J111" s="243"/>
      <c r="K111" s="243"/>
      <c r="L111" s="243"/>
      <c r="M111" s="243"/>
      <c r="N111" s="243"/>
      <c r="O111" s="243"/>
      <c r="Q111" s="245"/>
    </row>
    <row r="112" spans="1:17" s="244" customFormat="1" ht="15.95" customHeight="1">
      <c r="A112" s="243"/>
      <c r="B112" s="243"/>
      <c r="C112" s="243"/>
      <c r="D112" s="243"/>
      <c r="E112" s="243"/>
      <c r="F112" s="243"/>
      <c r="G112" s="243"/>
      <c r="H112" s="243"/>
      <c r="I112" s="243"/>
      <c r="J112" s="243"/>
      <c r="K112" s="243"/>
      <c r="L112" s="243"/>
      <c r="M112" s="243"/>
      <c r="N112" s="243"/>
      <c r="O112" s="243"/>
      <c r="Q112" s="245"/>
    </row>
    <row r="113" spans="1:17" s="244" customFormat="1" ht="15.95" customHeight="1">
      <c r="A113" s="243"/>
      <c r="B113" s="243"/>
      <c r="C113" s="243"/>
      <c r="D113" s="243"/>
      <c r="E113" s="243"/>
      <c r="F113" s="243"/>
      <c r="G113" s="243"/>
      <c r="H113" s="243"/>
      <c r="I113" s="243"/>
      <c r="J113" s="243"/>
      <c r="K113" s="243"/>
      <c r="L113" s="243"/>
      <c r="M113" s="243"/>
      <c r="N113" s="243"/>
      <c r="O113" s="243"/>
      <c r="Q113" s="245"/>
    </row>
    <row r="114" spans="1:17" s="244" customFormat="1" ht="15.95" customHeight="1">
      <c r="A114" s="243"/>
      <c r="B114" s="243"/>
      <c r="C114" s="243"/>
      <c r="D114" s="243"/>
      <c r="E114" s="243"/>
      <c r="F114" s="243"/>
      <c r="G114" s="243"/>
      <c r="H114" s="243"/>
      <c r="I114" s="243"/>
      <c r="J114" s="243"/>
      <c r="K114" s="243"/>
      <c r="L114" s="243"/>
      <c r="M114" s="243"/>
      <c r="N114" s="243"/>
      <c r="O114" s="243"/>
      <c r="Q114" s="245"/>
    </row>
    <row r="115" spans="1:17" s="244" customFormat="1" ht="15.95" customHeight="1">
      <c r="A115" s="243"/>
      <c r="B115" s="243"/>
      <c r="C115" s="243"/>
      <c r="D115" s="243"/>
      <c r="E115" s="243"/>
      <c r="F115" s="243"/>
      <c r="G115" s="243"/>
      <c r="H115" s="243"/>
      <c r="I115" s="243"/>
      <c r="J115" s="243"/>
      <c r="K115" s="243"/>
      <c r="L115" s="243"/>
      <c r="M115" s="243"/>
      <c r="N115" s="243"/>
      <c r="O115" s="243"/>
      <c r="Q115" s="245"/>
    </row>
    <row r="116" spans="1:17" s="244" customFormat="1" ht="15.95" customHeight="1">
      <c r="A116" s="243"/>
      <c r="B116" s="243"/>
      <c r="C116" s="243"/>
      <c r="D116" s="243"/>
      <c r="E116" s="243"/>
      <c r="F116" s="243"/>
      <c r="G116" s="243"/>
      <c r="H116" s="243"/>
      <c r="I116" s="243"/>
      <c r="J116" s="243"/>
      <c r="K116" s="243"/>
      <c r="L116" s="243"/>
      <c r="M116" s="243"/>
      <c r="N116" s="243"/>
      <c r="O116" s="243"/>
      <c r="Q116" s="245"/>
    </row>
    <row r="117" spans="1:17" s="244" customFormat="1" ht="15.95" customHeight="1">
      <c r="A117" s="243"/>
      <c r="B117" s="243"/>
      <c r="C117" s="243"/>
      <c r="D117" s="243"/>
      <c r="E117" s="243"/>
      <c r="F117" s="243"/>
      <c r="G117" s="243"/>
      <c r="H117" s="243"/>
      <c r="I117" s="243"/>
      <c r="J117" s="243"/>
      <c r="K117" s="243"/>
      <c r="L117" s="243"/>
      <c r="M117" s="243"/>
      <c r="N117" s="243"/>
      <c r="O117" s="243"/>
      <c r="Q117" s="245"/>
    </row>
    <row r="118" spans="1:17" ht="15.95" customHeight="1">
      <c r="B118" s="243"/>
      <c r="C118" s="243"/>
      <c r="D118" s="243"/>
      <c r="E118" s="243"/>
      <c r="F118" s="243"/>
    </row>
  </sheetData>
  <phoneticPr fontId="2" type="noConversion"/>
  <pageMargins left="0.74803149606299213" right="0.74803149606299213" top="0.78740157480314965" bottom="0.6" header="0.51181102362204722" footer="0.51181102362204722"/>
  <pageSetup paperSize="9" scale="93" fitToHeight="4" orientation="landscape" horizontalDpi="4294967293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 codeName="Sheet9" enableFormatConditionsCalculation="0">
    <tabColor indexed="10"/>
    <pageSetUpPr fitToPage="1"/>
  </sheetPr>
  <dimension ref="A1:U58"/>
  <sheetViews>
    <sheetView view="pageBreakPreview" zoomScale="85" zoomScaleNormal="70" zoomScaleSheetLayoutView="70" workbookViewId="0">
      <selection activeCell="G8" sqref="G8"/>
    </sheetView>
  </sheetViews>
  <sheetFormatPr defaultRowHeight="15.95" customHeight="1"/>
  <cols>
    <col min="1" max="1" width="3.21875" style="24" customWidth="1"/>
    <col min="2" max="2" width="25.21875" style="24" customWidth="1"/>
    <col min="3" max="3" width="10.5546875" style="24" customWidth="1"/>
    <col min="4" max="4" width="9.6640625" style="24" customWidth="1"/>
    <col min="5" max="6" width="10.6640625" style="24" customWidth="1"/>
    <col min="7" max="8" width="12.21875" style="24" customWidth="1"/>
    <col min="9" max="9" width="10.109375" style="24" customWidth="1"/>
    <col min="10" max="10" width="10.5546875" style="24" customWidth="1"/>
    <col min="11" max="11" width="7.6640625" style="24" customWidth="1"/>
    <col min="12" max="13" width="8.88671875" style="24"/>
    <col min="14" max="16" width="7.77734375" style="24" customWidth="1"/>
    <col min="17" max="17" width="6.6640625" style="24" customWidth="1"/>
    <col min="18" max="18" width="15" style="2" customWidth="1"/>
    <col min="19" max="20" width="14.33203125" style="2" customWidth="1"/>
    <col min="21" max="21" width="12.33203125" style="22" customWidth="1"/>
    <col min="22" max="22" width="7.88671875" style="2" customWidth="1"/>
    <col min="23" max="23" width="10.109375" style="2" bestFit="1" customWidth="1"/>
    <col min="24" max="24" width="7.77734375" style="2" customWidth="1"/>
    <col min="25" max="16384" width="8.88671875" style="2"/>
  </cols>
  <sheetData>
    <row r="1" spans="1:21" s="8" customFormat="1" ht="20.100000000000001" customHeight="1">
      <c r="A1" s="78" t="s">
        <v>239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U1" s="20"/>
    </row>
    <row r="2" spans="1:21" s="4" customFormat="1" ht="20.100000000000001" customHeight="1">
      <c r="A2" s="107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U2" s="21"/>
    </row>
    <row r="3" spans="1:21" s="8" customFormat="1" ht="20.100000000000001" customHeight="1">
      <c r="A3" s="79"/>
      <c r="B3" s="96" t="s">
        <v>214</v>
      </c>
      <c r="C3" s="96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</row>
    <row r="4" spans="1:21" s="4" customFormat="1" ht="20.100000000000001" customHeight="1">
      <c r="A4" s="25"/>
      <c r="B4" s="1041" t="s">
        <v>88</v>
      </c>
      <c r="C4" s="1051" t="s">
        <v>122</v>
      </c>
      <c r="D4" s="1053" t="s">
        <v>95</v>
      </c>
      <c r="E4" s="1051" t="s">
        <v>132</v>
      </c>
      <c r="F4" s="1054"/>
      <c r="G4" s="1054"/>
      <c r="H4" s="1054" t="s">
        <v>119</v>
      </c>
      <c r="I4" s="1053" t="s">
        <v>95</v>
      </c>
      <c r="J4" s="1051" t="s">
        <v>108</v>
      </c>
      <c r="K4" s="1054"/>
      <c r="L4" s="1054" t="s">
        <v>119</v>
      </c>
      <c r="M4" s="1053" t="s">
        <v>95</v>
      </c>
      <c r="N4" s="1077" t="s">
        <v>109</v>
      </c>
      <c r="O4" s="1053" t="s">
        <v>89</v>
      </c>
    </row>
    <row r="5" spans="1:21" s="4" customFormat="1" ht="20.100000000000001" customHeight="1">
      <c r="A5" s="25"/>
      <c r="B5" s="1042"/>
      <c r="C5" s="1052"/>
      <c r="D5" s="1058"/>
      <c r="E5" s="617" t="s">
        <v>118</v>
      </c>
      <c r="F5" s="618" t="s">
        <v>120</v>
      </c>
      <c r="G5" s="618" t="s">
        <v>121</v>
      </c>
      <c r="H5" s="1067"/>
      <c r="I5" s="1058"/>
      <c r="J5" s="617" t="s">
        <v>118</v>
      </c>
      <c r="K5" s="618" t="s">
        <v>120</v>
      </c>
      <c r="L5" s="1067"/>
      <c r="M5" s="1058"/>
      <c r="N5" s="1078"/>
      <c r="O5" s="1058"/>
    </row>
    <row r="6" spans="1:21" s="4" customFormat="1" ht="27" customHeight="1">
      <c r="A6" s="25"/>
      <c r="B6" s="389" t="str">
        <f>부실벌점!B5</f>
        <v>oo엔지니어링</v>
      </c>
      <c r="C6" s="736">
        <f>'개발(000)'!J4</f>
        <v>0</v>
      </c>
      <c r="D6" s="1074">
        <f>C6*N6+C7*N7+C8*N8</f>
        <v>0.33250000000000002</v>
      </c>
      <c r="E6" s="307">
        <f>'개발(000)'!J12</f>
        <v>0</v>
      </c>
      <c r="F6" s="308">
        <f>'개발(000)'!J9</f>
        <v>2</v>
      </c>
      <c r="G6" s="741">
        <f>'개발(000)'!J6</f>
        <v>0</v>
      </c>
      <c r="H6" s="739">
        <f>(E6+F6*배점기준!$F$88+G6*배점기준!$G$88)*배점기준!$F$86</f>
        <v>0.96</v>
      </c>
      <c r="I6" s="1074">
        <f>H6*N6+H7*N7+H8*N8</f>
        <v>0.77159999999999995</v>
      </c>
      <c r="J6" s="744">
        <f>'개발(000)'!J16</f>
        <v>0</v>
      </c>
      <c r="K6" s="745">
        <f>'개발(000)'!J14</f>
        <v>0</v>
      </c>
      <c r="L6" s="746">
        <f>(J6*배점기준!$E$89+K6*배점기준!$F$89)*배점기준!$G$86</f>
        <v>0</v>
      </c>
      <c r="M6" s="1071">
        <f>L6*N6+L8*N8</f>
        <v>0</v>
      </c>
      <c r="N6" s="312">
        <f>참여업체!C7</f>
        <v>0.42</v>
      </c>
      <c r="O6" s="1068">
        <f>IF((D6+I6+M6)&gt;=배점기준!$C$85,배점기준!$C$85,(D6+I6+M6))</f>
        <v>1.1040999999999999</v>
      </c>
    </row>
    <row r="7" spans="1:21" s="4" customFormat="1" ht="27" customHeight="1">
      <c r="A7" s="25"/>
      <c r="B7" s="705" t="str">
        <f>부실벌점!B6</f>
        <v>＊＊엔지니어링</v>
      </c>
      <c r="C7" s="736">
        <f>'개발(0001)'!J4</f>
        <v>0.25</v>
      </c>
      <c r="D7" s="1075"/>
      <c r="E7" s="737">
        <f>'개발(0001)'!J10</f>
        <v>0</v>
      </c>
      <c r="F7" s="738">
        <f>'개발(0001)'!J8</f>
        <v>1</v>
      </c>
      <c r="G7" s="742">
        <f>'개발(0001)'!J6</f>
        <v>0</v>
      </c>
      <c r="H7" s="739">
        <f>(E7+F7*배점기준!$F$88+G7*배점기준!$G$88)*배점기준!$F$86</f>
        <v>0.48</v>
      </c>
      <c r="I7" s="1075"/>
      <c r="J7" s="747">
        <f>'개발(0001)'!J14</f>
        <v>0</v>
      </c>
      <c r="K7" s="748">
        <f>'개발(0001)'!J12</f>
        <v>0</v>
      </c>
      <c r="L7" s="749">
        <f>(J7*배점기준!$E$89+K7*배점기준!$F$89)*배점기준!$G$86</f>
        <v>0</v>
      </c>
      <c r="M7" s="1072"/>
      <c r="N7" s="312">
        <f>참여업체!D7</f>
        <v>0.33</v>
      </c>
      <c r="O7" s="1069"/>
    </row>
    <row r="8" spans="1:21" s="4" customFormat="1" ht="27" customHeight="1">
      <c r="A8" s="25"/>
      <c r="B8" s="390" t="str">
        <f>부실벌점!B7</f>
        <v>☆☆엔지니어링</v>
      </c>
      <c r="C8" s="736">
        <f>'개발(0002)'!J4</f>
        <v>1</v>
      </c>
      <c r="D8" s="1076"/>
      <c r="E8" s="309">
        <f>'개발(0002)'!J10</f>
        <v>0</v>
      </c>
      <c r="F8" s="310">
        <f>'개발(0002)'!J8</f>
        <v>1</v>
      </c>
      <c r="G8" s="743">
        <f>'개발(0002)'!J6</f>
        <v>1</v>
      </c>
      <c r="H8" s="740">
        <f>(E8+F8*배점기준!$F$88+G8*배점기준!$G$88)*배점기준!$F$86</f>
        <v>0.84</v>
      </c>
      <c r="I8" s="1076"/>
      <c r="J8" s="750">
        <f>'개발(0002)'!J14</f>
        <v>0</v>
      </c>
      <c r="K8" s="751">
        <f>'개발(0002)'!J12</f>
        <v>0</v>
      </c>
      <c r="L8" s="752">
        <f>(J8*배점기준!$E$89+K8*배점기준!$F$89)*배점기준!$G$86</f>
        <v>0</v>
      </c>
      <c r="M8" s="1073"/>
      <c r="N8" s="753">
        <f>참여업체!E7</f>
        <v>0.25</v>
      </c>
      <c r="O8" s="1070"/>
    </row>
    <row r="9" spans="1:21" s="4" customFormat="1" ht="22.5" customHeight="1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U9" s="21"/>
    </row>
    <row r="10" spans="1:21" ht="19.5" customHeight="1">
      <c r="B10" s="96" t="s">
        <v>429</v>
      </c>
      <c r="C10" s="96"/>
      <c r="D10" s="79"/>
      <c r="E10" s="79"/>
      <c r="F10" s="79"/>
      <c r="G10" s="108"/>
      <c r="H10" s="79"/>
      <c r="I10" s="79"/>
      <c r="J10" s="79"/>
      <c r="K10" s="109"/>
      <c r="L10" s="109"/>
    </row>
    <row r="11" spans="1:21" ht="20.100000000000001" customHeight="1">
      <c r="B11" s="1086" t="s">
        <v>88</v>
      </c>
      <c r="C11" s="875" t="s">
        <v>260</v>
      </c>
      <c r="D11" s="1088" t="s">
        <v>137</v>
      </c>
      <c r="E11" s="1053"/>
      <c r="F11" s="1089" t="s">
        <v>96</v>
      </c>
      <c r="G11" s="1060" t="s">
        <v>195</v>
      </c>
      <c r="H11" s="1081" t="s">
        <v>109</v>
      </c>
      <c r="I11" s="1041" t="s">
        <v>106</v>
      </c>
      <c r="J11" s="1079" t="s">
        <v>89</v>
      </c>
      <c r="K11" s="109"/>
      <c r="L11" s="109"/>
    </row>
    <row r="12" spans="1:21" ht="20.100000000000001" customHeight="1">
      <c r="B12" s="1087"/>
      <c r="C12" s="877"/>
      <c r="D12" s="408" t="s">
        <v>145</v>
      </c>
      <c r="E12" s="623" t="s">
        <v>146</v>
      </c>
      <c r="F12" s="1090"/>
      <c r="G12" s="1061"/>
      <c r="H12" s="1082"/>
      <c r="I12" s="1042"/>
      <c r="J12" s="1080"/>
      <c r="K12" s="109"/>
      <c r="L12" s="109"/>
    </row>
    <row r="13" spans="1:21" ht="21" customHeight="1">
      <c r="B13" s="1097" t="str">
        <f>B6</f>
        <v>oo엔지니어링</v>
      </c>
      <c r="C13" s="117">
        <v>2012</v>
      </c>
      <c r="D13" s="708">
        <v>5268</v>
      </c>
      <c r="E13" s="708">
        <v>140278</v>
      </c>
      <c r="F13" s="253">
        <f t="shared" ref="F13:F21" si="0">IF(D13=0,"0",D13/E13)</f>
        <v>3.7553999914455578E-2</v>
      </c>
      <c r="G13" s="1059">
        <f>(F13+F14+F15)/3</f>
        <v>3.6042270835497124E-2</v>
      </c>
      <c r="H13" s="1083">
        <f>참여업체!C7</f>
        <v>0.42</v>
      </c>
      <c r="I13" s="1102">
        <f>G13*H13+G16*H16+G19*H19</f>
        <v>3.9058943480552062E-2</v>
      </c>
      <c r="J13" s="1101">
        <f>IF(I13&gt;=배점기준!$E$90,배점기준!$E$91,IF(I13&gt;=배점기준!$F$90,배점기준!$F$91,IF(I13&gt;=배점기준!$G$90,배점기준!$G$91,IF(I13&gt;=배점기준!$H$90,배점기준!$H$91,IF(I13&lt;배점기준!$I$90,배점기준!$I$91)))))</f>
        <v>10</v>
      </c>
      <c r="K13" s="109"/>
      <c r="L13" s="109"/>
    </row>
    <row r="14" spans="1:21" ht="21" customHeight="1">
      <c r="B14" s="1097"/>
      <c r="C14" s="117">
        <v>2013</v>
      </c>
      <c r="D14" s="708">
        <v>5556</v>
      </c>
      <c r="E14" s="708">
        <v>140506</v>
      </c>
      <c r="F14" s="253">
        <f t="shared" si="0"/>
        <v>3.9542795325466527E-2</v>
      </c>
      <c r="G14" s="1059"/>
      <c r="H14" s="1083"/>
      <c r="I14" s="1102"/>
      <c r="J14" s="1101"/>
      <c r="K14" s="109"/>
      <c r="L14" s="109"/>
    </row>
    <row r="15" spans="1:21" ht="21" customHeight="1">
      <c r="B15" s="1097"/>
      <c r="C15" s="117">
        <v>2014</v>
      </c>
      <c r="D15" s="708">
        <v>3738</v>
      </c>
      <c r="E15" s="708">
        <v>120464</v>
      </c>
      <c r="F15" s="253">
        <f t="shared" si="0"/>
        <v>3.1030017266569267E-2</v>
      </c>
      <c r="G15" s="1059"/>
      <c r="H15" s="1083"/>
      <c r="I15" s="1102"/>
      <c r="J15" s="1101"/>
      <c r="K15" s="109"/>
      <c r="L15" s="109"/>
    </row>
    <row r="16" spans="1:21" ht="21" customHeight="1">
      <c r="B16" s="1097" t="str">
        <f>B7</f>
        <v>＊＊엔지니어링</v>
      </c>
      <c r="C16" s="117">
        <v>2012</v>
      </c>
      <c r="D16" s="709">
        <v>1761</v>
      </c>
      <c r="E16" s="709">
        <v>48107</v>
      </c>
      <c r="F16" s="253">
        <f t="shared" si="0"/>
        <v>3.6605899349367033E-2</v>
      </c>
      <c r="G16" s="1059">
        <f>(F16+F17+F18)/3</f>
        <v>3.4557549320889634E-2</v>
      </c>
      <c r="H16" s="1064">
        <v>0.33</v>
      </c>
      <c r="I16" s="1102"/>
      <c r="J16" s="1101"/>
      <c r="K16" s="109"/>
      <c r="L16" s="109"/>
    </row>
    <row r="17" spans="1:21" ht="21" customHeight="1">
      <c r="B17" s="1097"/>
      <c r="C17" s="117">
        <v>2013</v>
      </c>
      <c r="D17" s="252">
        <v>1587</v>
      </c>
      <c r="E17" s="252">
        <v>45360</v>
      </c>
      <c r="F17" s="253">
        <f t="shared" si="0"/>
        <v>3.498677248677249E-2</v>
      </c>
      <c r="G17" s="1059"/>
      <c r="H17" s="1065"/>
      <c r="I17" s="1102"/>
      <c r="J17" s="1101"/>
      <c r="K17" s="109"/>
      <c r="L17" s="109"/>
    </row>
    <row r="18" spans="1:21" ht="21" customHeight="1">
      <c r="B18" s="1097"/>
      <c r="C18" s="117">
        <v>2014</v>
      </c>
      <c r="D18" s="710">
        <v>1505</v>
      </c>
      <c r="E18" s="710">
        <v>46914</v>
      </c>
      <c r="F18" s="253">
        <f t="shared" si="0"/>
        <v>3.2079976126529394E-2</v>
      </c>
      <c r="G18" s="1059"/>
      <c r="H18" s="1066"/>
      <c r="I18" s="1102"/>
      <c r="J18" s="1101"/>
      <c r="K18" s="109"/>
      <c r="L18" s="109"/>
    </row>
    <row r="19" spans="1:21" ht="21" customHeight="1">
      <c r="B19" s="1097" t="str">
        <f>B8</f>
        <v>☆☆엔지니어링</v>
      </c>
      <c r="C19" s="117">
        <v>2012</v>
      </c>
      <c r="D19" s="706">
        <v>7548</v>
      </c>
      <c r="E19" s="707">
        <v>150287</v>
      </c>
      <c r="F19" s="253">
        <f t="shared" si="0"/>
        <v>5.0223904928570005E-2</v>
      </c>
      <c r="G19" s="1059">
        <f>(F19+F20+F21)/3</f>
        <v>5.0068793814998763E-2</v>
      </c>
      <c r="H19" s="1083">
        <v>0.25</v>
      </c>
      <c r="I19" s="1102"/>
      <c r="J19" s="1101"/>
      <c r="K19" s="109"/>
      <c r="L19" s="109"/>
    </row>
    <row r="20" spans="1:21" ht="21" customHeight="1">
      <c r="B20" s="1097"/>
      <c r="C20" s="117">
        <v>2013</v>
      </c>
      <c r="D20" s="252">
        <v>7695</v>
      </c>
      <c r="E20" s="252">
        <v>153835</v>
      </c>
      <c r="F20" s="253">
        <f t="shared" si="0"/>
        <v>5.0021126531673545E-2</v>
      </c>
      <c r="G20" s="1059"/>
      <c r="H20" s="1083"/>
      <c r="I20" s="1102"/>
      <c r="J20" s="1101"/>
      <c r="K20" s="109"/>
      <c r="L20" s="109"/>
    </row>
    <row r="21" spans="1:21" ht="21" customHeight="1">
      <c r="B21" s="1097"/>
      <c r="C21" s="117">
        <v>2014</v>
      </c>
      <c r="D21" s="640">
        <v>7045</v>
      </c>
      <c r="E21" s="641">
        <v>141009</v>
      </c>
      <c r="F21" s="253">
        <f t="shared" si="0"/>
        <v>4.9961349984752747E-2</v>
      </c>
      <c r="G21" s="1059"/>
      <c r="H21" s="1083"/>
      <c r="I21" s="1102"/>
      <c r="J21" s="1101"/>
      <c r="K21" s="109"/>
      <c r="L21" s="109"/>
    </row>
    <row r="22" spans="1:21" ht="22.5" customHeight="1">
      <c r="J22" s="110"/>
      <c r="K22" s="109"/>
      <c r="L22" s="109"/>
    </row>
    <row r="23" spans="1:21" ht="20.100000000000001" customHeight="1">
      <c r="B23" s="96" t="s">
        <v>215</v>
      </c>
      <c r="C23" s="96"/>
      <c r="D23" s="79"/>
      <c r="E23" s="79"/>
      <c r="F23" s="79"/>
      <c r="G23" s="79"/>
      <c r="H23" s="79"/>
      <c r="I23" s="79"/>
      <c r="J23" s="79"/>
      <c r="K23" s="79"/>
      <c r="L23" s="79"/>
    </row>
    <row r="24" spans="1:21" ht="22.5" customHeight="1">
      <c r="B24" s="1041" t="s">
        <v>88</v>
      </c>
      <c r="C24" s="1062" t="s">
        <v>122</v>
      </c>
      <c r="D24" s="1063"/>
      <c r="E24" s="1051" t="s">
        <v>132</v>
      </c>
      <c r="F24" s="1098"/>
      <c r="G24" s="1051" t="s">
        <v>108</v>
      </c>
      <c r="H24" s="1053"/>
      <c r="I24" s="875" t="s">
        <v>109</v>
      </c>
      <c r="J24" s="1079" t="s">
        <v>89</v>
      </c>
      <c r="P24" s="2"/>
      <c r="Q24" s="2"/>
      <c r="S24" s="22"/>
      <c r="U24" s="2"/>
    </row>
    <row r="25" spans="1:21" ht="22.5" customHeight="1">
      <c r="B25" s="1042"/>
      <c r="C25" s="408" t="s">
        <v>95</v>
      </c>
      <c r="D25" s="409" t="s">
        <v>119</v>
      </c>
      <c r="E25" s="394" t="s">
        <v>95</v>
      </c>
      <c r="F25" s="409" t="s">
        <v>119</v>
      </c>
      <c r="G25" s="617" t="s">
        <v>95</v>
      </c>
      <c r="H25" s="623" t="s">
        <v>119</v>
      </c>
      <c r="I25" s="877"/>
      <c r="J25" s="1080"/>
      <c r="P25" s="2"/>
      <c r="Q25" s="2"/>
      <c r="S25" s="22"/>
      <c r="U25" s="2"/>
    </row>
    <row r="26" spans="1:21" ht="26.25" customHeight="1">
      <c r="B26" s="389" t="str">
        <f>B6</f>
        <v>oo엔지니어링</v>
      </c>
      <c r="C26" s="311">
        <f>'활용(000)'!J6</f>
        <v>2.9</v>
      </c>
      <c r="D26" s="1091">
        <f>C26*I26+C27*L27+C28*I28</f>
        <v>2.6929999999999996</v>
      </c>
      <c r="E26" s="755">
        <f>'활용(000)'!J8</f>
        <v>0.216</v>
      </c>
      <c r="F26" s="1094">
        <f>E26*I26+E28*I28</f>
        <v>9.0719999999999995E-2</v>
      </c>
      <c r="G26" s="755">
        <f>'활용(000)'!J10</f>
        <v>0</v>
      </c>
      <c r="H26" s="1084">
        <f>G26*I26+G28*I28</f>
        <v>0</v>
      </c>
      <c r="I26" s="312">
        <f>참여업체!C7</f>
        <v>0.42</v>
      </c>
      <c r="J26" s="1099">
        <f>IF((D26+F26+H26)&gt;=배점기준!$C$92,배점기준!$C$92,(D26+F26+H26))</f>
        <v>2.7837199999999998</v>
      </c>
      <c r="P26" s="2"/>
      <c r="Q26" s="2"/>
      <c r="S26" s="22"/>
      <c r="U26" s="2"/>
    </row>
    <row r="27" spans="1:21" ht="26.25" customHeight="1">
      <c r="B27" s="658" t="str">
        <f>B7</f>
        <v>＊＊엔지니어링</v>
      </c>
      <c r="C27" s="311">
        <f>'활용(0001)'!J10</f>
        <v>5.5</v>
      </c>
      <c r="D27" s="1092"/>
      <c r="E27" s="755">
        <f>'활용(0001)'!J12</f>
        <v>0</v>
      </c>
      <c r="F27" s="1095"/>
      <c r="G27" s="755">
        <f>'활용(0001)'!J14</f>
        <v>0</v>
      </c>
      <c r="H27" s="1072"/>
      <c r="I27" s="312">
        <f>참여업체!D7</f>
        <v>0.33</v>
      </c>
      <c r="J27" s="1044"/>
      <c r="P27" s="2"/>
      <c r="Q27" s="2"/>
      <c r="S27" s="22"/>
      <c r="U27" s="2"/>
    </row>
    <row r="28" spans="1:21" ht="26.25" customHeight="1">
      <c r="B28" s="658" t="str">
        <f>B8</f>
        <v>☆☆엔지니어링</v>
      </c>
      <c r="C28" s="754">
        <f>'활용(0002)'!J12</f>
        <v>5.8999999999999995</v>
      </c>
      <c r="D28" s="1093"/>
      <c r="E28" s="755">
        <f>'활용(0002)'!J14</f>
        <v>0</v>
      </c>
      <c r="F28" s="1096"/>
      <c r="G28" s="755">
        <f>'활용(0002)'!J16</f>
        <v>0</v>
      </c>
      <c r="H28" s="1085"/>
      <c r="I28" s="753">
        <f>참여업체!E7</f>
        <v>0.25</v>
      </c>
      <c r="J28" s="1100"/>
      <c r="P28" s="2"/>
      <c r="Q28" s="2"/>
      <c r="S28" s="22"/>
      <c r="U28" s="2"/>
    </row>
    <row r="29" spans="1:21" ht="10.5" customHeight="1"/>
    <row r="30" spans="1:21" ht="15.95" customHeight="1">
      <c r="B30" s="313"/>
      <c r="J30" s="110"/>
      <c r="K30" s="109"/>
      <c r="L30" s="109"/>
    </row>
    <row r="31" spans="1:21" ht="15.95" customHeight="1">
      <c r="A31" s="159" t="s">
        <v>253</v>
      </c>
      <c r="B31" s="160" t="s">
        <v>251</v>
      </c>
      <c r="C31" s="160"/>
      <c r="D31" s="246"/>
      <c r="E31" s="246"/>
      <c r="J31" s="110"/>
      <c r="K31" s="109"/>
      <c r="L31" s="109"/>
    </row>
    <row r="32" spans="1:21" ht="15.95" customHeight="1">
      <c r="A32" s="246"/>
      <c r="B32" s="160" t="s">
        <v>252</v>
      </c>
      <c r="C32" s="160"/>
      <c r="D32" s="246"/>
      <c r="E32" s="246"/>
      <c r="J32" s="110"/>
      <c r="K32" s="109"/>
      <c r="L32" s="109"/>
    </row>
    <row r="33" spans="2:12" ht="15.95" customHeight="1">
      <c r="B33" s="165" t="s">
        <v>250</v>
      </c>
      <c r="C33" s="165"/>
      <c r="J33" s="110"/>
      <c r="K33" s="88"/>
      <c r="L33" s="88"/>
    </row>
    <row r="34" spans="2:12" ht="15.95" customHeight="1">
      <c r="J34" s="110"/>
      <c r="K34" s="88"/>
    </row>
    <row r="35" spans="2:12" ht="15.95" customHeight="1">
      <c r="J35" s="110"/>
      <c r="K35" s="88"/>
    </row>
    <row r="36" spans="2:12" ht="15.95" customHeight="1">
      <c r="J36" s="110"/>
      <c r="K36" s="88"/>
    </row>
    <row r="37" spans="2:12" ht="15.95" customHeight="1">
      <c r="J37" s="110"/>
      <c r="K37" s="88"/>
    </row>
    <row r="38" spans="2:12" ht="15.95" customHeight="1">
      <c r="J38" s="110"/>
      <c r="K38" s="88"/>
    </row>
    <row r="39" spans="2:12" ht="15.95" customHeight="1">
      <c r="J39" s="110"/>
      <c r="K39" s="88"/>
    </row>
    <row r="40" spans="2:12" ht="15.95" customHeight="1">
      <c r="J40" s="110"/>
      <c r="K40" s="88"/>
    </row>
    <row r="41" spans="2:12" ht="15.95" customHeight="1">
      <c r="J41" s="110"/>
      <c r="K41" s="88"/>
    </row>
    <row r="42" spans="2:12" ht="15.95" customHeight="1">
      <c r="J42" s="110"/>
      <c r="K42" s="88"/>
    </row>
    <row r="43" spans="2:12" ht="15.95" customHeight="1">
      <c r="J43" s="110"/>
      <c r="K43" s="88"/>
    </row>
    <row r="44" spans="2:12" ht="15.95" customHeight="1">
      <c r="J44" s="110"/>
      <c r="K44" s="88"/>
    </row>
    <row r="45" spans="2:12" ht="15.95" customHeight="1">
      <c r="J45" s="110"/>
      <c r="K45" s="88"/>
    </row>
    <row r="46" spans="2:12" ht="15.95" customHeight="1">
      <c r="J46" s="110"/>
      <c r="K46" s="88"/>
    </row>
    <row r="47" spans="2:12" ht="15.95" customHeight="1">
      <c r="J47" s="110"/>
      <c r="K47" s="88"/>
    </row>
    <row r="48" spans="2:12" ht="15.95" customHeight="1">
      <c r="J48" s="110"/>
      <c r="K48" s="88"/>
    </row>
    <row r="49" spans="10:11" ht="15.95" customHeight="1">
      <c r="J49" s="110"/>
      <c r="K49" s="88"/>
    </row>
    <row r="50" spans="10:11" ht="15.95" customHeight="1">
      <c r="J50" s="110"/>
      <c r="K50" s="88"/>
    </row>
    <row r="51" spans="10:11" ht="15.95" customHeight="1">
      <c r="J51" s="110"/>
      <c r="K51" s="88"/>
    </row>
    <row r="52" spans="10:11" ht="15.95" customHeight="1">
      <c r="J52" s="110"/>
      <c r="K52" s="88"/>
    </row>
    <row r="53" spans="10:11" ht="15.95" customHeight="1">
      <c r="J53" s="110"/>
      <c r="K53" s="88"/>
    </row>
    <row r="54" spans="10:11" ht="15.95" customHeight="1">
      <c r="J54" s="110"/>
      <c r="K54" s="88"/>
    </row>
    <row r="55" spans="10:11" ht="15.95" customHeight="1">
      <c r="J55" s="110"/>
      <c r="K55" s="88"/>
    </row>
    <row r="56" spans="10:11" ht="15.95" customHeight="1">
      <c r="J56" s="110"/>
      <c r="K56" s="88"/>
    </row>
    <row r="57" spans="10:11" ht="15.95" customHeight="1">
      <c r="J57" s="110"/>
      <c r="K57" s="88"/>
    </row>
    <row r="58" spans="10:11" ht="15.95" customHeight="1">
      <c r="J58" s="110"/>
      <c r="K58" s="88"/>
    </row>
  </sheetData>
  <protectedRanges>
    <protectedRange password="CF2F" sqref="D13:E13" name="범위1_1"/>
    <protectedRange password="CF2F" sqref="D16:E18" name="범위1_1_1"/>
  </protectedRanges>
  <mergeCells count="44">
    <mergeCell ref="J26:J28"/>
    <mergeCell ref="J13:J21"/>
    <mergeCell ref="I13:I21"/>
    <mergeCell ref="J24:J25"/>
    <mergeCell ref="I24:I25"/>
    <mergeCell ref="H13:H15"/>
    <mergeCell ref="G16:G18"/>
    <mergeCell ref="H26:H28"/>
    <mergeCell ref="B11:B12"/>
    <mergeCell ref="D11:E11"/>
    <mergeCell ref="F11:F12"/>
    <mergeCell ref="D26:D28"/>
    <mergeCell ref="F26:F28"/>
    <mergeCell ref="B13:B15"/>
    <mergeCell ref="B19:B21"/>
    <mergeCell ref="G19:G21"/>
    <mergeCell ref="B16:B18"/>
    <mergeCell ref="B24:B25"/>
    <mergeCell ref="E24:F24"/>
    <mergeCell ref="G24:H24"/>
    <mergeCell ref="H19:H21"/>
    <mergeCell ref="C24:D24"/>
    <mergeCell ref="H16:H18"/>
    <mergeCell ref="I4:I5"/>
    <mergeCell ref="H4:H5"/>
    <mergeCell ref="O6:O8"/>
    <mergeCell ref="M6:M8"/>
    <mergeCell ref="I6:I8"/>
    <mergeCell ref="O4:O5"/>
    <mergeCell ref="J4:K4"/>
    <mergeCell ref="L4:L5"/>
    <mergeCell ref="M4:M5"/>
    <mergeCell ref="N4:N5"/>
    <mergeCell ref="J11:J12"/>
    <mergeCell ref="I11:I12"/>
    <mergeCell ref="D6:D8"/>
    <mergeCell ref="H11:H12"/>
    <mergeCell ref="B4:B5"/>
    <mergeCell ref="C4:C5"/>
    <mergeCell ref="D4:D5"/>
    <mergeCell ref="G13:G15"/>
    <mergeCell ref="E4:G4"/>
    <mergeCell ref="C11:C12"/>
    <mergeCell ref="G11:G12"/>
  </mergeCells>
  <phoneticPr fontId="2" type="noConversion"/>
  <pageMargins left="0.74803149606299213" right="0.74803149606299213" top="1.08" bottom="0.78740157480314965" header="0.51181102362204722" footer="0.51181102362204722"/>
  <pageSetup paperSize="9" scale="72" orientation="landscape" horizontalDpi="4294967293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 enableFormatConditionsCalculation="0">
    <tabColor indexed="41"/>
  </sheetPr>
  <dimension ref="A1:J16"/>
  <sheetViews>
    <sheetView view="pageBreakPreview" topLeftCell="A4" zoomScaleSheetLayoutView="100" workbookViewId="0">
      <selection activeCell="M11" sqref="M11"/>
    </sheetView>
  </sheetViews>
  <sheetFormatPr defaultRowHeight="13.5"/>
  <cols>
    <col min="1" max="1" width="7.77734375" customWidth="1"/>
    <col min="2" max="2" width="7.21875" customWidth="1"/>
    <col min="3" max="3" width="12.88671875" customWidth="1"/>
    <col min="4" max="4" width="31.109375" customWidth="1"/>
    <col min="5" max="5" width="7.33203125" customWidth="1"/>
    <col min="6" max="6" width="5.5546875" customWidth="1"/>
    <col min="7" max="7" width="13.77734375" customWidth="1"/>
    <col min="8" max="8" width="11.33203125" customWidth="1"/>
    <col min="9" max="9" width="10.21875" customWidth="1"/>
    <col min="10" max="10" width="5.88671875" customWidth="1"/>
  </cols>
  <sheetData>
    <row r="1" spans="1:10" ht="20.25" thickBot="1">
      <c r="A1" s="322" t="str">
        <f>'[1]개발(동일)'!A1</f>
        <v>▣ 개발실적</v>
      </c>
      <c r="B1" s="323"/>
      <c r="C1" s="322" t="str">
        <f>기술투자!B6</f>
        <v>oo엔지니어링</v>
      </c>
      <c r="D1" s="322"/>
      <c r="E1" s="322"/>
      <c r="F1" s="121"/>
      <c r="G1" s="557" t="s">
        <v>598</v>
      </c>
      <c r="H1" s="711">
        <v>42213</v>
      </c>
      <c r="I1" s="282"/>
      <c r="J1" s="121"/>
    </row>
    <row r="2" spans="1:10" ht="24">
      <c r="A2" s="559" t="s">
        <v>221</v>
      </c>
      <c r="B2" s="433" t="s">
        <v>222</v>
      </c>
      <c r="C2" s="433" t="s">
        <v>223</v>
      </c>
      <c r="D2" s="433" t="s">
        <v>599</v>
      </c>
      <c r="E2" s="433" t="s">
        <v>600</v>
      </c>
      <c r="F2" s="433" t="s">
        <v>601</v>
      </c>
      <c r="G2" s="433" t="s">
        <v>602</v>
      </c>
      <c r="H2" s="433" t="s">
        <v>224</v>
      </c>
      <c r="I2" s="433" t="s">
        <v>225</v>
      </c>
      <c r="J2" s="560" t="s">
        <v>185</v>
      </c>
    </row>
    <row r="3" spans="1:10" ht="22.5" customHeight="1">
      <c r="A3" s="601" t="s">
        <v>603</v>
      </c>
      <c r="B3" s="258"/>
      <c r="C3" s="258"/>
      <c r="D3" s="258"/>
      <c r="E3" s="274"/>
      <c r="F3" s="275"/>
      <c r="G3" s="276"/>
      <c r="H3" s="277"/>
      <c r="I3" s="278"/>
      <c r="J3" s="561"/>
    </row>
    <row r="4" spans="1:10" ht="22.5" customHeight="1">
      <c r="A4" s="1103" t="s">
        <v>604</v>
      </c>
      <c r="B4" s="1104"/>
      <c r="C4" s="1104"/>
      <c r="D4" s="1104"/>
      <c r="E4" s="1104"/>
      <c r="F4" s="1104"/>
      <c r="G4" s="1104"/>
      <c r="H4" s="1104"/>
      <c r="I4" s="1105"/>
      <c r="J4" s="562">
        <f>SUM(J3:J3)</f>
        <v>0</v>
      </c>
    </row>
    <row r="5" spans="1:10" ht="22.5" customHeight="1">
      <c r="A5" s="601" t="s">
        <v>605</v>
      </c>
      <c r="B5" s="258"/>
      <c r="C5" s="258"/>
      <c r="D5" s="258"/>
      <c r="E5" s="274"/>
      <c r="F5" s="279"/>
      <c r="G5" s="276"/>
      <c r="H5" s="277"/>
      <c r="I5" s="278"/>
      <c r="J5" s="561"/>
    </row>
    <row r="6" spans="1:10" ht="22.5" customHeight="1">
      <c r="A6" s="1103" t="s">
        <v>606</v>
      </c>
      <c r="B6" s="1104"/>
      <c r="C6" s="1104"/>
      <c r="D6" s="1104"/>
      <c r="E6" s="1104"/>
      <c r="F6" s="1104"/>
      <c r="G6" s="1104"/>
      <c r="H6" s="1104"/>
      <c r="I6" s="1105"/>
      <c r="J6" s="562">
        <f>SUM(J5:J5)</f>
        <v>0</v>
      </c>
    </row>
    <row r="7" spans="1:10" ht="75" customHeight="1">
      <c r="A7" s="712" t="s">
        <v>607</v>
      </c>
      <c r="B7" s="686">
        <v>1</v>
      </c>
      <c r="C7" s="661" t="s">
        <v>826</v>
      </c>
      <c r="D7" s="685" t="s">
        <v>826</v>
      </c>
      <c r="E7" s="713" t="s">
        <v>826</v>
      </c>
      <c r="F7" s="714">
        <v>1</v>
      </c>
      <c r="G7" s="715">
        <v>39850</v>
      </c>
      <c r="H7" s="716">
        <f>$H$1-G7</f>
        <v>2363</v>
      </c>
      <c r="I7" s="716">
        <v>47155</v>
      </c>
      <c r="J7" s="717">
        <f>1/F7</f>
        <v>1</v>
      </c>
    </row>
    <row r="8" spans="1:10" ht="75" customHeight="1">
      <c r="A8" s="712" t="s">
        <v>608</v>
      </c>
      <c r="B8" s="686">
        <v>2</v>
      </c>
      <c r="C8" s="661" t="s">
        <v>826</v>
      </c>
      <c r="D8" s="685" t="s">
        <v>826</v>
      </c>
      <c r="E8" s="713" t="s">
        <v>826</v>
      </c>
      <c r="F8" s="714">
        <v>1</v>
      </c>
      <c r="G8" s="715">
        <v>39850</v>
      </c>
      <c r="H8" s="716">
        <f>$H$1-G8</f>
        <v>2363</v>
      </c>
      <c r="I8" s="716">
        <v>47155</v>
      </c>
      <c r="J8" s="717">
        <f>1/F8</f>
        <v>1</v>
      </c>
    </row>
    <row r="9" spans="1:10" ht="22.5" customHeight="1">
      <c r="A9" s="1103" t="s">
        <v>609</v>
      </c>
      <c r="B9" s="1104"/>
      <c r="C9" s="1104"/>
      <c r="D9" s="1104"/>
      <c r="E9" s="1104"/>
      <c r="F9" s="1104"/>
      <c r="G9" s="1104"/>
      <c r="H9" s="1104"/>
      <c r="I9" s="1105"/>
      <c r="J9" s="562">
        <f>SUM(J7:J8)</f>
        <v>2</v>
      </c>
    </row>
    <row r="10" spans="1:10" ht="75" customHeight="1">
      <c r="A10" s="712"/>
      <c r="B10" s="686"/>
      <c r="C10" s="661"/>
      <c r="D10" s="685"/>
      <c r="E10" s="713"/>
      <c r="F10" s="714"/>
      <c r="G10" s="715"/>
      <c r="H10" s="716"/>
      <c r="I10" s="716"/>
      <c r="J10" s="717"/>
    </row>
    <row r="11" spans="1:10" ht="123.75" customHeight="1">
      <c r="A11" s="712"/>
      <c r="B11" s="686"/>
      <c r="C11" s="661"/>
      <c r="D11" s="685"/>
      <c r="E11" s="713"/>
      <c r="F11" s="714"/>
      <c r="G11" s="715"/>
      <c r="H11" s="716"/>
      <c r="I11" s="716"/>
      <c r="J11" s="717"/>
    </row>
    <row r="12" spans="1:10" ht="22.5" customHeight="1">
      <c r="A12" s="1103" t="s">
        <v>784</v>
      </c>
      <c r="B12" s="1104"/>
      <c r="C12" s="1104"/>
      <c r="D12" s="1104"/>
      <c r="E12" s="1104"/>
      <c r="F12" s="1104"/>
      <c r="G12" s="1104"/>
      <c r="H12" s="1104"/>
      <c r="I12" s="1105"/>
      <c r="J12" s="562">
        <f>SUM(J10:J11)</f>
        <v>0</v>
      </c>
    </row>
    <row r="13" spans="1:10" ht="22.5" customHeight="1">
      <c r="A13" s="601" t="s">
        <v>785</v>
      </c>
      <c r="B13" s="258"/>
      <c r="C13" s="258"/>
      <c r="D13" s="258"/>
      <c r="E13" s="274"/>
      <c r="F13" s="279"/>
      <c r="G13" s="276"/>
      <c r="H13" s="277"/>
      <c r="I13" s="278"/>
      <c r="J13" s="561"/>
    </row>
    <row r="14" spans="1:10" ht="22.5" customHeight="1">
      <c r="A14" s="1103" t="s">
        <v>786</v>
      </c>
      <c r="B14" s="1104"/>
      <c r="C14" s="1104"/>
      <c r="D14" s="1104"/>
      <c r="E14" s="1104"/>
      <c r="F14" s="1104"/>
      <c r="G14" s="1104"/>
      <c r="H14" s="1104"/>
      <c r="I14" s="1105"/>
      <c r="J14" s="562">
        <f>SUM(J13:J13)</f>
        <v>0</v>
      </c>
    </row>
    <row r="15" spans="1:10" ht="22.5" customHeight="1">
      <c r="A15" s="601" t="s">
        <v>230</v>
      </c>
      <c r="B15" s="258"/>
      <c r="C15" s="258"/>
      <c r="D15" s="258"/>
      <c r="E15" s="274"/>
      <c r="F15" s="279"/>
      <c r="G15" s="276"/>
      <c r="H15" s="277"/>
      <c r="I15" s="278"/>
      <c r="J15" s="561"/>
    </row>
    <row r="16" spans="1:10" ht="22.5" customHeight="1" thickBot="1">
      <c r="A16" s="1106" t="s">
        <v>278</v>
      </c>
      <c r="B16" s="1107"/>
      <c r="C16" s="1107"/>
      <c r="D16" s="1107"/>
      <c r="E16" s="1107"/>
      <c r="F16" s="1107"/>
      <c r="G16" s="1107"/>
      <c r="H16" s="1107"/>
      <c r="I16" s="1108"/>
      <c r="J16" s="563">
        <f>SUM(J15:J15)</f>
        <v>0</v>
      </c>
    </row>
  </sheetData>
  <mergeCells count="6">
    <mergeCell ref="A14:I14"/>
    <mergeCell ref="A16:I16"/>
    <mergeCell ref="A4:I4"/>
    <mergeCell ref="A6:I6"/>
    <mergeCell ref="A9:I9"/>
    <mergeCell ref="A12:I12"/>
  </mergeCells>
  <phoneticPr fontId="2" type="noConversion"/>
  <pageMargins left="0.75" right="0.75" top="1" bottom="1" header="0.5" footer="0.5"/>
  <pageSetup paperSize="9" scale="66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indexed="41"/>
  </sheetPr>
  <dimension ref="A1:L124"/>
  <sheetViews>
    <sheetView view="pageBreakPreview" zoomScale="85" zoomScaleNormal="115" workbookViewId="0">
      <selection activeCell="E3" sqref="E3"/>
    </sheetView>
  </sheetViews>
  <sheetFormatPr defaultRowHeight="12" customHeight="1"/>
  <cols>
    <col min="1" max="1" width="14.6640625" style="137" customWidth="1"/>
    <col min="2" max="2" width="5.33203125" style="133" customWidth="1"/>
    <col min="3" max="3" width="17.88671875" style="133" customWidth="1"/>
    <col min="4" max="4" width="35.88671875" style="133" customWidth="1"/>
    <col min="5" max="5" width="13.44140625" style="133" customWidth="1"/>
    <col min="6" max="6" width="5.44140625" style="134" customWidth="1"/>
    <col min="7" max="7" width="10.5546875" style="141" customWidth="1"/>
    <col min="8" max="8" width="10.6640625" style="141" customWidth="1"/>
    <col min="9" max="9" width="10.5546875" style="135" customWidth="1"/>
    <col min="10" max="10" width="8.5546875" style="136" customWidth="1"/>
    <col min="11" max="16384" width="8.88671875" style="128"/>
  </cols>
  <sheetData>
    <row r="1" spans="1:12" s="125" customFormat="1" ht="30" customHeight="1" thickBot="1">
      <c r="A1" s="322" t="s">
        <v>720</v>
      </c>
      <c r="B1" s="323"/>
      <c r="C1" s="322" t="str">
        <f>기술투자!B7</f>
        <v>＊＊엔지니어링</v>
      </c>
      <c r="D1" s="322"/>
      <c r="E1" s="322"/>
      <c r="F1" s="282"/>
      <c r="G1" s="557" t="s">
        <v>721</v>
      </c>
      <c r="H1" s="607">
        <v>42213</v>
      </c>
      <c r="I1" s="121"/>
      <c r="J1" s="121"/>
      <c r="K1" s="124"/>
      <c r="L1" s="124"/>
    </row>
    <row r="2" spans="1:12" s="126" customFormat="1" ht="35.1" customHeight="1">
      <c r="A2" s="559" t="s">
        <v>221</v>
      </c>
      <c r="B2" s="433" t="s">
        <v>222</v>
      </c>
      <c r="C2" s="433" t="s">
        <v>223</v>
      </c>
      <c r="D2" s="433" t="s">
        <v>722</v>
      </c>
      <c r="E2" s="433" t="s">
        <v>226</v>
      </c>
      <c r="F2" s="433" t="s">
        <v>227</v>
      </c>
      <c r="G2" s="433" t="s">
        <v>229</v>
      </c>
      <c r="H2" s="433" t="s">
        <v>224</v>
      </c>
      <c r="I2" s="433" t="s">
        <v>225</v>
      </c>
      <c r="J2" s="560" t="s">
        <v>185</v>
      </c>
    </row>
    <row r="3" spans="1:12" s="127" customFormat="1" ht="106.5" customHeight="1">
      <c r="A3" s="601" t="s">
        <v>275</v>
      </c>
      <c r="B3" s="258">
        <v>1</v>
      </c>
      <c r="C3" s="201" t="s">
        <v>773</v>
      </c>
      <c r="D3" s="192" t="s">
        <v>779</v>
      </c>
      <c r="E3" s="564" t="s">
        <v>774</v>
      </c>
      <c r="F3" s="279">
        <v>4</v>
      </c>
      <c r="G3" s="276">
        <v>40977</v>
      </c>
      <c r="H3" s="277">
        <f>$H$1-G3</f>
        <v>1236</v>
      </c>
      <c r="I3" s="278">
        <v>42802</v>
      </c>
      <c r="J3" s="561">
        <f>1/F3</f>
        <v>0.25</v>
      </c>
    </row>
    <row r="4" spans="1:12" s="434" customFormat="1" ht="35.1" customHeight="1">
      <c r="A4" s="1103" t="s">
        <v>228</v>
      </c>
      <c r="B4" s="1104"/>
      <c r="C4" s="1104"/>
      <c r="D4" s="1104"/>
      <c r="E4" s="1104"/>
      <c r="F4" s="1104"/>
      <c r="G4" s="1104"/>
      <c r="H4" s="1104"/>
      <c r="I4" s="1105"/>
      <c r="J4" s="562">
        <f>SUM(J3:J3)</f>
        <v>0.25</v>
      </c>
    </row>
    <row r="5" spans="1:12" s="127" customFormat="1" ht="35.1" customHeight="1">
      <c r="A5" s="601" t="s">
        <v>723</v>
      </c>
      <c r="B5" s="258"/>
      <c r="C5" s="258"/>
      <c r="D5" s="258" t="s">
        <v>778</v>
      </c>
      <c r="E5" s="274"/>
      <c r="F5" s="275"/>
      <c r="G5" s="276"/>
      <c r="H5" s="277"/>
      <c r="I5" s="278"/>
      <c r="J5" s="561"/>
    </row>
    <row r="6" spans="1:12" s="435" customFormat="1" ht="35.1" customHeight="1">
      <c r="A6" s="1103" t="s">
        <v>724</v>
      </c>
      <c r="B6" s="1104"/>
      <c r="C6" s="1104"/>
      <c r="D6" s="1104"/>
      <c r="E6" s="1104"/>
      <c r="F6" s="1104"/>
      <c r="G6" s="1104"/>
      <c r="H6" s="1104"/>
      <c r="I6" s="1105"/>
      <c r="J6" s="562">
        <f>SUM(J5:J5)</f>
        <v>0</v>
      </c>
    </row>
    <row r="7" spans="1:12" ht="276.75" customHeight="1">
      <c r="A7" s="601" t="s">
        <v>777</v>
      </c>
      <c r="B7" s="258">
        <v>1</v>
      </c>
      <c r="C7" s="201" t="s">
        <v>815</v>
      </c>
      <c r="D7" s="734" t="s">
        <v>815</v>
      </c>
      <c r="E7" s="274" t="s">
        <v>815</v>
      </c>
      <c r="F7" s="279">
        <v>1</v>
      </c>
      <c r="G7" s="735">
        <v>38845</v>
      </c>
      <c r="H7" s="277">
        <f>$H$1-G7</f>
        <v>3368</v>
      </c>
      <c r="I7" s="278">
        <v>46150</v>
      </c>
      <c r="J7" s="561">
        <f>1/F7</f>
        <v>1</v>
      </c>
    </row>
    <row r="8" spans="1:12" s="435" customFormat="1" ht="31.5" customHeight="1">
      <c r="A8" s="1103" t="s">
        <v>726</v>
      </c>
      <c r="B8" s="1104"/>
      <c r="C8" s="1104"/>
      <c r="D8" s="1104"/>
      <c r="E8" s="1104"/>
      <c r="F8" s="1104"/>
      <c r="G8" s="1104"/>
      <c r="H8" s="1104"/>
      <c r="I8" s="1105"/>
      <c r="J8" s="562">
        <f>SUM(J7:J7)</f>
        <v>1</v>
      </c>
    </row>
    <row r="9" spans="1:12" ht="41.25" customHeight="1">
      <c r="A9" s="601" t="s">
        <v>725</v>
      </c>
      <c r="B9" s="258"/>
      <c r="C9" s="201"/>
      <c r="D9" s="201" t="s">
        <v>776</v>
      </c>
      <c r="E9" s="564"/>
      <c r="F9" s="275"/>
      <c r="G9" s="565"/>
      <c r="H9" s="277"/>
      <c r="I9" s="604"/>
      <c r="J9" s="561">
        <v>0</v>
      </c>
    </row>
    <row r="10" spans="1:12" s="434" customFormat="1" ht="35.1" customHeight="1">
      <c r="A10" s="1103" t="s">
        <v>727</v>
      </c>
      <c r="B10" s="1104"/>
      <c r="C10" s="1104"/>
      <c r="D10" s="1104"/>
      <c r="E10" s="1104"/>
      <c r="F10" s="1104"/>
      <c r="G10" s="1104"/>
      <c r="H10" s="1104"/>
      <c r="I10" s="1105"/>
      <c r="J10" s="562">
        <f>SUM(J9:J9)</f>
        <v>0</v>
      </c>
    </row>
    <row r="11" spans="1:12" s="127" customFormat="1" ht="41.25" customHeight="1">
      <c r="A11" s="601" t="s">
        <v>728</v>
      </c>
      <c r="B11" s="258"/>
      <c r="C11" s="258"/>
      <c r="D11" s="201" t="s">
        <v>776</v>
      </c>
      <c r="E11" s="564"/>
      <c r="F11" s="275"/>
      <c r="G11" s="276"/>
      <c r="H11" s="277"/>
      <c r="I11" s="278"/>
      <c r="J11" s="561">
        <v>0</v>
      </c>
    </row>
    <row r="12" spans="1:12" s="434" customFormat="1" ht="35.1" customHeight="1">
      <c r="A12" s="1103" t="s">
        <v>729</v>
      </c>
      <c r="B12" s="1104"/>
      <c r="C12" s="1104"/>
      <c r="D12" s="1104"/>
      <c r="E12" s="1104"/>
      <c r="F12" s="1104"/>
      <c r="G12" s="1104"/>
      <c r="H12" s="1104"/>
      <c r="I12" s="1105"/>
      <c r="J12" s="562">
        <f>SUM(J11:J11)</f>
        <v>0</v>
      </c>
    </row>
    <row r="13" spans="1:12" s="127" customFormat="1" ht="42.75" customHeight="1">
      <c r="A13" s="601" t="s">
        <v>730</v>
      </c>
      <c r="B13" s="258"/>
      <c r="C13" s="258"/>
      <c r="D13" s="258" t="s">
        <v>776</v>
      </c>
      <c r="E13" s="274"/>
      <c r="F13" s="275"/>
      <c r="G13" s="276"/>
      <c r="H13" s="277"/>
      <c r="I13" s="278"/>
      <c r="J13" s="561">
        <v>0</v>
      </c>
    </row>
    <row r="14" spans="1:12" s="434" customFormat="1" ht="35.1" customHeight="1" thickBot="1">
      <c r="A14" s="1106" t="s">
        <v>731</v>
      </c>
      <c r="B14" s="1107"/>
      <c r="C14" s="1107"/>
      <c r="D14" s="1107"/>
      <c r="E14" s="1107"/>
      <c r="F14" s="1107"/>
      <c r="G14" s="1107"/>
      <c r="H14" s="1107"/>
      <c r="I14" s="1108"/>
      <c r="J14" s="563">
        <f>SUM(J13:J13)</f>
        <v>0</v>
      </c>
    </row>
    <row r="15" spans="1:12" s="197" customFormat="1" ht="24.95" customHeight="1">
      <c r="A15" s="249" t="s">
        <v>732</v>
      </c>
      <c r="B15" s="160" t="s">
        <v>733</v>
      </c>
      <c r="C15" s="272"/>
      <c r="D15" s="272"/>
      <c r="E15" s="272"/>
      <c r="F15" s="273"/>
      <c r="G15" s="273"/>
      <c r="H15" s="273"/>
      <c r="I15" s="280"/>
      <c r="J15" s="199"/>
    </row>
    <row r="16" spans="1:12" s="197" customFormat="1" ht="24.95" customHeight="1">
      <c r="A16" s="249" t="s">
        <v>734</v>
      </c>
      <c r="B16" s="160" t="s">
        <v>735</v>
      </c>
      <c r="C16" s="272"/>
      <c r="D16" s="272"/>
      <c r="E16" s="272"/>
      <c r="F16" s="273"/>
      <c r="G16" s="273"/>
      <c r="H16" s="273"/>
      <c r="I16" s="280"/>
      <c r="J16" s="199"/>
    </row>
    <row r="17" spans="1:10" s="197" customFormat="1" ht="24.95" customHeight="1">
      <c r="A17" s="249" t="s">
        <v>736</v>
      </c>
      <c r="B17" s="160" t="s">
        <v>737</v>
      </c>
      <c r="C17" s="272"/>
      <c r="D17" s="272"/>
      <c r="E17" s="272"/>
      <c r="F17" s="273"/>
      <c r="G17" s="273"/>
      <c r="H17" s="273"/>
      <c r="I17" s="280"/>
      <c r="J17" s="199"/>
    </row>
    <row r="18" spans="1:10" ht="15" customHeight="1">
      <c r="A18" s="132"/>
      <c r="G18" s="134"/>
      <c r="H18" s="134"/>
    </row>
    <row r="19" spans="1:10" ht="15" customHeight="1">
      <c r="A19" s="132"/>
      <c r="G19" s="134"/>
      <c r="H19" s="134"/>
    </row>
    <row r="20" spans="1:10" ht="15" customHeight="1">
      <c r="C20" s="138"/>
      <c r="D20" s="138"/>
      <c r="E20" s="138"/>
      <c r="F20" s="139"/>
      <c r="G20" s="140"/>
      <c r="H20" s="140"/>
    </row>
    <row r="21" spans="1:10" ht="15" customHeight="1">
      <c r="C21" s="138"/>
      <c r="D21" s="138"/>
      <c r="E21" s="138"/>
      <c r="F21" s="139"/>
      <c r="G21" s="140"/>
      <c r="H21" s="140"/>
    </row>
    <row r="22" spans="1:10" ht="15" customHeight="1">
      <c r="C22" s="138"/>
      <c r="D22" s="138"/>
      <c r="E22" s="138"/>
      <c r="F22" s="139"/>
      <c r="G22" s="140"/>
      <c r="H22" s="140"/>
    </row>
    <row r="23" spans="1:10" ht="15" customHeight="1">
      <c r="C23" s="138"/>
      <c r="D23" s="138"/>
      <c r="E23" s="138"/>
      <c r="F23" s="139"/>
      <c r="G23" s="140"/>
      <c r="H23" s="140"/>
    </row>
    <row r="24" spans="1:10" ht="15" customHeight="1">
      <c r="C24" s="138"/>
      <c r="D24" s="138"/>
      <c r="E24" s="138"/>
      <c r="F24" s="139"/>
      <c r="G24" s="140"/>
      <c r="H24" s="140"/>
    </row>
    <row r="25" spans="1:10" ht="12" customHeight="1">
      <c r="C25" s="138"/>
      <c r="D25" s="138"/>
      <c r="E25" s="138"/>
      <c r="F25" s="139"/>
      <c r="G25" s="140"/>
      <c r="H25" s="140"/>
    </row>
    <row r="26" spans="1:10" ht="12" customHeight="1">
      <c r="C26" s="138"/>
      <c r="D26" s="138"/>
      <c r="E26" s="138"/>
      <c r="F26" s="139"/>
      <c r="G26" s="140"/>
      <c r="H26" s="140"/>
    </row>
    <row r="27" spans="1:10" ht="12" customHeight="1">
      <c r="C27" s="138"/>
      <c r="D27" s="138"/>
      <c r="E27" s="138"/>
      <c r="F27" s="139"/>
      <c r="G27" s="140"/>
      <c r="H27" s="140"/>
    </row>
    <row r="28" spans="1:10" ht="12" customHeight="1">
      <c r="C28" s="138"/>
      <c r="D28" s="138"/>
      <c r="E28" s="138"/>
      <c r="F28" s="139"/>
      <c r="G28" s="140"/>
      <c r="H28" s="140"/>
    </row>
    <row r="29" spans="1:10" ht="12" customHeight="1">
      <c r="C29" s="138"/>
      <c r="D29" s="138"/>
      <c r="E29" s="138"/>
      <c r="F29" s="139"/>
      <c r="G29" s="140"/>
      <c r="H29" s="140"/>
    </row>
    <row r="30" spans="1:10" ht="12" customHeight="1">
      <c r="C30" s="138"/>
      <c r="D30" s="138"/>
      <c r="E30" s="138"/>
      <c r="F30" s="139"/>
      <c r="G30" s="140"/>
      <c r="H30" s="140"/>
    </row>
    <row r="31" spans="1:10" ht="12" customHeight="1">
      <c r="C31" s="138"/>
      <c r="D31" s="138"/>
      <c r="E31" s="138"/>
      <c r="F31" s="139"/>
      <c r="G31" s="140"/>
      <c r="H31" s="140"/>
    </row>
    <row r="32" spans="1:10" ht="12" customHeight="1">
      <c r="C32" s="138"/>
      <c r="D32" s="138"/>
      <c r="E32" s="138"/>
      <c r="F32" s="139"/>
      <c r="G32" s="140"/>
      <c r="H32" s="140"/>
    </row>
    <row r="33" spans="3:8" ht="12" customHeight="1">
      <c r="C33" s="138"/>
      <c r="D33" s="138"/>
      <c r="E33" s="138"/>
      <c r="F33" s="139"/>
      <c r="G33" s="140"/>
      <c r="H33" s="140"/>
    </row>
    <row r="34" spans="3:8" ht="12" customHeight="1">
      <c r="C34" s="138"/>
      <c r="D34" s="138"/>
      <c r="E34" s="138"/>
      <c r="F34" s="139"/>
      <c r="G34" s="140"/>
      <c r="H34" s="140"/>
    </row>
    <row r="35" spans="3:8" ht="12" customHeight="1">
      <c r="C35" s="138"/>
      <c r="D35" s="138"/>
      <c r="E35" s="138"/>
      <c r="F35" s="139"/>
      <c r="G35" s="140"/>
      <c r="H35" s="140"/>
    </row>
    <row r="36" spans="3:8" ht="12" customHeight="1">
      <c r="C36" s="138"/>
      <c r="D36" s="138"/>
      <c r="E36" s="138"/>
      <c r="F36" s="139"/>
      <c r="G36" s="140"/>
      <c r="H36" s="140"/>
    </row>
    <row r="37" spans="3:8" ht="12" customHeight="1">
      <c r="C37" s="138"/>
      <c r="D37" s="138"/>
      <c r="E37" s="138"/>
      <c r="F37" s="139"/>
      <c r="G37" s="140"/>
      <c r="H37" s="140"/>
    </row>
    <row r="38" spans="3:8" ht="12" customHeight="1">
      <c r="C38" s="138"/>
      <c r="D38" s="138"/>
      <c r="E38" s="138"/>
      <c r="F38" s="139"/>
      <c r="G38" s="140"/>
      <c r="H38" s="140"/>
    </row>
    <row r="39" spans="3:8" ht="12" customHeight="1">
      <c r="C39" s="138"/>
      <c r="D39" s="138"/>
      <c r="E39" s="138"/>
      <c r="F39" s="139"/>
      <c r="G39" s="140"/>
      <c r="H39" s="140"/>
    </row>
    <row r="40" spans="3:8" ht="12" customHeight="1">
      <c r="C40" s="138"/>
      <c r="D40" s="138"/>
      <c r="E40" s="138"/>
      <c r="F40" s="139"/>
      <c r="G40" s="140"/>
      <c r="H40" s="140"/>
    </row>
    <row r="41" spans="3:8" ht="12" customHeight="1">
      <c r="C41" s="138"/>
      <c r="D41" s="138"/>
      <c r="E41" s="138"/>
      <c r="F41" s="139"/>
      <c r="G41" s="140"/>
      <c r="H41" s="140"/>
    </row>
    <row r="42" spans="3:8" ht="12" customHeight="1">
      <c r="C42" s="138"/>
      <c r="D42" s="138"/>
      <c r="E42" s="138"/>
      <c r="F42" s="139"/>
      <c r="G42" s="140"/>
      <c r="H42" s="140"/>
    </row>
    <row r="43" spans="3:8" ht="12" customHeight="1">
      <c r="C43" s="138"/>
      <c r="D43" s="138"/>
      <c r="E43" s="138"/>
      <c r="F43" s="139"/>
      <c r="G43" s="140"/>
      <c r="H43" s="140"/>
    </row>
    <row r="44" spans="3:8" ht="12" customHeight="1">
      <c r="C44" s="138"/>
      <c r="D44" s="138"/>
      <c r="E44" s="138"/>
      <c r="F44" s="139"/>
      <c r="G44" s="140"/>
      <c r="H44" s="140"/>
    </row>
    <row r="45" spans="3:8" ht="12" customHeight="1">
      <c r="C45" s="138"/>
      <c r="D45" s="138"/>
      <c r="E45" s="138"/>
      <c r="F45" s="139"/>
      <c r="G45" s="140"/>
      <c r="H45" s="140"/>
    </row>
    <row r="46" spans="3:8" ht="12" customHeight="1">
      <c r="C46" s="138"/>
      <c r="D46" s="138"/>
      <c r="E46" s="138"/>
      <c r="F46" s="139"/>
      <c r="G46" s="140"/>
      <c r="H46" s="140"/>
    </row>
    <row r="47" spans="3:8" ht="12" customHeight="1">
      <c r="C47" s="138"/>
      <c r="D47" s="138"/>
      <c r="E47" s="138"/>
      <c r="F47" s="139"/>
      <c r="G47" s="140"/>
      <c r="H47" s="140"/>
    </row>
    <row r="48" spans="3:8" ht="12" customHeight="1">
      <c r="C48" s="138"/>
      <c r="D48" s="138"/>
      <c r="E48" s="138"/>
      <c r="F48" s="139"/>
      <c r="G48" s="140"/>
      <c r="H48" s="140"/>
    </row>
    <row r="49" spans="3:8" ht="12" customHeight="1">
      <c r="C49" s="138"/>
      <c r="D49" s="138"/>
      <c r="E49" s="138"/>
      <c r="F49" s="139"/>
      <c r="G49" s="140"/>
      <c r="H49" s="140"/>
    </row>
    <row r="50" spans="3:8" ht="12" customHeight="1">
      <c r="C50" s="138"/>
      <c r="D50" s="138"/>
      <c r="E50" s="138"/>
      <c r="F50" s="139"/>
      <c r="G50" s="140"/>
      <c r="H50" s="140"/>
    </row>
    <row r="51" spans="3:8" ht="12" customHeight="1">
      <c r="C51" s="138"/>
      <c r="D51" s="138"/>
      <c r="E51" s="138"/>
      <c r="F51" s="139"/>
      <c r="G51" s="140"/>
      <c r="H51" s="140"/>
    </row>
    <row r="52" spans="3:8" ht="12" customHeight="1">
      <c r="C52" s="138"/>
      <c r="D52" s="138"/>
      <c r="E52" s="138"/>
      <c r="F52" s="139"/>
      <c r="G52" s="140"/>
      <c r="H52" s="140"/>
    </row>
    <row r="53" spans="3:8" ht="12" customHeight="1">
      <c r="C53" s="138"/>
      <c r="D53" s="138"/>
      <c r="E53" s="138"/>
      <c r="F53" s="139"/>
      <c r="G53" s="140"/>
      <c r="H53" s="140"/>
    </row>
    <row r="54" spans="3:8" ht="12" customHeight="1">
      <c r="C54" s="138"/>
      <c r="D54" s="138"/>
      <c r="E54" s="138"/>
      <c r="F54" s="139"/>
      <c r="G54" s="140"/>
      <c r="H54" s="140"/>
    </row>
    <row r="55" spans="3:8" ht="12" customHeight="1">
      <c r="C55" s="138"/>
      <c r="D55" s="138"/>
      <c r="E55" s="138"/>
      <c r="F55" s="139"/>
      <c r="G55" s="140"/>
      <c r="H55" s="140"/>
    </row>
    <row r="56" spans="3:8" ht="12" customHeight="1">
      <c r="C56" s="138"/>
      <c r="D56" s="138"/>
      <c r="E56" s="138"/>
      <c r="F56" s="139"/>
      <c r="G56" s="140"/>
      <c r="H56" s="140"/>
    </row>
    <row r="57" spans="3:8" ht="12" customHeight="1">
      <c r="C57" s="138"/>
      <c r="D57" s="138"/>
      <c r="E57" s="138"/>
      <c r="F57" s="139"/>
      <c r="G57" s="140"/>
      <c r="H57" s="140"/>
    </row>
    <row r="58" spans="3:8" ht="12" customHeight="1">
      <c r="C58" s="138"/>
      <c r="D58" s="138"/>
      <c r="E58" s="138"/>
      <c r="F58" s="139"/>
      <c r="G58" s="140"/>
      <c r="H58" s="140"/>
    </row>
    <row r="59" spans="3:8" ht="12" customHeight="1">
      <c r="C59" s="138"/>
      <c r="D59" s="138"/>
      <c r="E59" s="138"/>
      <c r="F59" s="139"/>
      <c r="G59" s="140"/>
      <c r="H59" s="140"/>
    </row>
    <row r="60" spans="3:8" ht="12" customHeight="1">
      <c r="C60" s="138"/>
      <c r="D60" s="138"/>
      <c r="E60" s="138"/>
      <c r="F60" s="139"/>
      <c r="G60" s="140"/>
      <c r="H60" s="140"/>
    </row>
    <row r="61" spans="3:8" ht="12" customHeight="1">
      <c r="C61" s="138"/>
      <c r="D61" s="138"/>
      <c r="E61" s="138"/>
      <c r="F61" s="139"/>
      <c r="G61" s="140"/>
      <c r="H61" s="140"/>
    </row>
    <row r="62" spans="3:8" ht="12" customHeight="1">
      <c r="C62" s="138"/>
      <c r="D62" s="138"/>
      <c r="E62" s="138"/>
      <c r="F62" s="139"/>
      <c r="G62" s="140"/>
      <c r="H62" s="140"/>
    </row>
    <row r="63" spans="3:8" ht="12" customHeight="1">
      <c r="C63" s="138"/>
      <c r="D63" s="138"/>
      <c r="E63" s="138"/>
      <c r="F63" s="139"/>
      <c r="G63" s="140"/>
      <c r="H63" s="140"/>
    </row>
    <row r="64" spans="3:8" ht="12" customHeight="1">
      <c r="C64" s="138"/>
      <c r="D64" s="138"/>
      <c r="E64" s="138"/>
      <c r="F64" s="139"/>
      <c r="G64" s="140"/>
      <c r="H64" s="140"/>
    </row>
    <row r="65" spans="3:8" ht="12" customHeight="1">
      <c r="C65" s="138"/>
      <c r="D65" s="138"/>
      <c r="E65" s="138"/>
      <c r="F65" s="139"/>
      <c r="G65" s="140"/>
      <c r="H65" s="140"/>
    </row>
    <row r="66" spans="3:8" ht="12" customHeight="1">
      <c r="C66" s="138"/>
      <c r="D66" s="138"/>
      <c r="E66" s="138"/>
      <c r="F66" s="139"/>
      <c r="G66" s="140"/>
      <c r="H66" s="140"/>
    </row>
    <row r="67" spans="3:8" ht="12" customHeight="1">
      <c r="C67" s="138"/>
      <c r="D67" s="138"/>
      <c r="E67" s="138"/>
      <c r="F67" s="139"/>
      <c r="G67" s="140"/>
      <c r="H67" s="140"/>
    </row>
    <row r="68" spans="3:8" ht="12" customHeight="1">
      <c r="C68" s="138"/>
      <c r="D68" s="138"/>
      <c r="E68" s="138"/>
      <c r="F68" s="139"/>
      <c r="G68" s="140"/>
      <c r="H68" s="140"/>
    </row>
    <row r="69" spans="3:8" ht="12" customHeight="1">
      <c r="C69" s="138"/>
      <c r="D69" s="138"/>
      <c r="E69" s="138"/>
      <c r="F69" s="139"/>
      <c r="G69" s="140"/>
      <c r="H69" s="140"/>
    </row>
    <row r="70" spans="3:8" ht="12" customHeight="1">
      <c r="C70" s="138"/>
      <c r="D70" s="138"/>
      <c r="E70" s="138"/>
      <c r="F70" s="139"/>
      <c r="G70" s="140"/>
      <c r="H70" s="140"/>
    </row>
    <row r="71" spans="3:8" ht="12" customHeight="1">
      <c r="C71" s="138"/>
      <c r="D71" s="138"/>
      <c r="E71" s="138"/>
      <c r="F71" s="139"/>
      <c r="G71" s="140"/>
      <c r="H71" s="140"/>
    </row>
    <row r="72" spans="3:8" ht="12" customHeight="1">
      <c r="C72" s="138"/>
      <c r="D72" s="138"/>
      <c r="E72" s="138"/>
      <c r="F72" s="139"/>
      <c r="G72" s="140"/>
      <c r="H72" s="140"/>
    </row>
    <row r="73" spans="3:8" ht="12" customHeight="1">
      <c r="C73" s="138"/>
      <c r="D73" s="138"/>
      <c r="E73" s="138"/>
      <c r="F73" s="139"/>
      <c r="G73" s="140"/>
      <c r="H73" s="140"/>
    </row>
    <row r="74" spans="3:8" ht="12" customHeight="1">
      <c r="C74" s="138"/>
      <c r="D74" s="138"/>
      <c r="E74" s="138"/>
      <c r="F74" s="139"/>
      <c r="G74" s="140"/>
      <c r="H74" s="140"/>
    </row>
    <row r="75" spans="3:8" ht="12" customHeight="1">
      <c r="C75" s="138"/>
      <c r="D75" s="138"/>
      <c r="E75" s="138"/>
      <c r="F75" s="139"/>
      <c r="G75" s="140"/>
      <c r="H75" s="140"/>
    </row>
    <row r="76" spans="3:8" ht="12" customHeight="1">
      <c r="C76" s="138"/>
      <c r="D76" s="138"/>
      <c r="E76" s="138"/>
      <c r="F76" s="139"/>
      <c r="G76" s="140"/>
      <c r="H76" s="140"/>
    </row>
    <row r="77" spans="3:8" ht="12" customHeight="1">
      <c r="C77" s="138"/>
      <c r="D77" s="138"/>
      <c r="E77" s="138"/>
      <c r="F77" s="139"/>
      <c r="G77" s="140"/>
      <c r="H77" s="140"/>
    </row>
    <row r="78" spans="3:8" ht="12" customHeight="1">
      <c r="C78" s="138"/>
      <c r="D78" s="138"/>
      <c r="E78" s="138"/>
      <c r="F78" s="139"/>
      <c r="G78" s="140"/>
      <c r="H78" s="140"/>
    </row>
    <row r="79" spans="3:8" ht="12" customHeight="1">
      <c r="C79" s="138"/>
      <c r="D79" s="138"/>
      <c r="E79" s="138"/>
      <c r="F79" s="139"/>
      <c r="G79" s="140"/>
      <c r="H79" s="140"/>
    </row>
    <row r="80" spans="3:8" ht="12" customHeight="1">
      <c r="C80" s="138"/>
      <c r="D80" s="138"/>
      <c r="E80" s="138"/>
      <c r="F80" s="139"/>
      <c r="G80" s="140"/>
      <c r="H80" s="140"/>
    </row>
    <row r="81" spans="3:8" ht="12" customHeight="1">
      <c r="C81" s="138"/>
      <c r="D81" s="138"/>
      <c r="E81" s="138"/>
      <c r="F81" s="139"/>
      <c r="G81" s="140"/>
      <c r="H81" s="140"/>
    </row>
    <row r="82" spans="3:8" ht="12" customHeight="1">
      <c r="C82" s="138"/>
      <c r="D82" s="138"/>
      <c r="E82" s="138"/>
      <c r="F82" s="139"/>
      <c r="G82" s="140"/>
      <c r="H82" s="140"/>
    </row>
    <row r="83" spans="3:8" ht="12" customHeight="1">
      <c r="C83" s="138"/>
      <c r="D83" s="138"/>
      <c r="E83" s="138"/>
      <c r="F83" s="139"/>
      <c r="G83" s="140"/>
      <c r="H83" s="140"/>
    </row>
    <row r="84" spans="3:8" ht="12" customHeight="1">
      <c r="C84" s="138"/>
      <c r="D84" s="138"/>
      <c r="E84" s="138"/>
      <c r="F84" s="139"/>
      <c r="G84" s="140"/>
      <c r="H84" s="140"/>
    </row>
    <row r="85" spans="3:8" ht="12" customHeight="1">
      <c r="C85" s="138"/>
      <c r="D85" s="138"/>
      <c r="E85" s="138"/>
      <c r="F85" s="139"/>
      <c r="G85" s="140"/>
      <c r="H85" s="140"/>
    </row>
    <row r="86" spans="3:8" ht="12" customHeight="1">
      <c r="C86" s="138"/>
      <c r="D86" s="138"/>
      <c r="E86" s="138"/>
      <c r="F86" s="139"/>
      <c r="G86" s="140"/>
      <c r="H86" s="140"/>
    </row>
    <row r="87" spans="3:8" ht="12" customHeight="1">
      <c r="C87" s="138"/>
      <c r="D87" s="138"/>
      <c r="E87" s="138"/>
      <c r="F87" s="139"/>
      <c r="G87" s="140"/>
      <c r="H87" s="140"/>
    </row>
    <row r="88" spans="3:8" ht="12" customHeight="1">
      <c r="C88" s="138"/>
      <c r="D88" s="138"/>
      <c r="E88" s="138"/>
      <c r="F88" s="139"/>
      <c r="G88" s="140"/>
      <c r="H88" s="140"/>
    </row>
    <row r="89" spans="3:8" ht="12" customHeight="1">
      <c r="C89" s="138"/>
      <c r="D89" s="138"/>
      <c r="E89" s="138"/>
      <c r="F89" s="139"/>
      <c r="G89" s="140"/>
      <c r="H89" s="140"/>
    </row>
    <row r="90" spans="3:8" ht="12" customHeight="1">
      <c r="C90" s="138"/>
      <c r="D90" s="138"/>
      <c r="E90" s="138"/>
      <c r="F90" s="139"/>
      <c r="G90" s="140"/>
      <c r="H90" s="140"/>
    </row>
    <row r="91" spans="3:8" ht="12" customHeight="1">
      <c r="C91" s="138"/>
      <c r="D91" s="138"/>
      <c r="E91" s="138"/>
      <c r="F91" s="139"/>
      <c r="G91" s="140"/>
      <c r="H91" s="140"/>
    </row>
    <row r="92" spans="3:8" ht="12" customHeight="1">
      <c r="C92" s="138"/>
      <c r="D92" s="138"/>
      <c r="E92" s="138"/>
      <c r="F92" s="139"/>
      <c r="G92" s="140"/>
      <c r="H92" s="140"/>
    </row>
    <row r="93" spans="3:8" ht="12" customHeight="1">
      <c r="C93" s="138"/>
      <c r="D93" s="138"/>
      <c r="E93" s="138"/>
      <c r="F93" s="139"/>
      <c r="G93" s="140"/>
      <c r="H93" s="140"/>
    </row>
    <row r="94" spans="3:8" ht="12" customHeight="1">
      <c r="C94" s="138"/>
      <c r="D94" s="138"/>
      <c r="E94" s="138"/>
      <c r="F94" s="139"/>
      <c r="G94" s="140"/>
      <c r="H94" s="140"/>
    </row>
    <row r="95" spans="3:8" ht="12" customHeight="1">
      <c r="C95" s="138"/>
      <c r="D95" s="138"/>
      <c r="E95" s="138"/>
      <c r="F95" s="139"/>
      <c r="G95" s="140"/>
      <c r="H95" s="140"/>
    </row>
    <row r="96" spans="3:8" ht="12" customHeight="1">
      <c r="C96" s="138"/>
      <c r="D96" s="138"/>
      <c r="E96" s="138"/>
      <c r="F96" s="139"/>
      <c r="G96" s="140"/>
      <c r="H96" s="140"/>
    </row>
    <row r="97" spans="3:8" ht="12" customHeight="1">
      <c r="C97" s="138"/>
      <c r="D97" s="138"/>
      <c r="E97" s="138"/>
      <c r="F97" s="139"/>
      <c r="G97" s="140"/>
      <c r="H97" s="140"/>
    </row>
    <row r="98" spans="3:8" ht="12" customHeight="1">
      <c r="C98" s="138"/>
      <c r="D98" s="138"/>
      <c r="E98" s="138"/>
      <c r="F98" s="139"/>
      <c r="G98" s="140"/>
      <c r="H98" s="140"/>
    </row>
    <row r="99" spans="3:8" ht="12" customHeight="1">
      <c r="C99" s="138"/>
      <c r="D99" s="138"/>
      <c r="E99" s="138"/>
      <c r="F99" s="139"/>
      <c r="G99" s="140"/>
      <c r="H99" s="140"/>
    </row>
    <row r="100" spans="3:8" ht="12" customHeight="1">
      <c r="C100" s="138"/>
      <c r="D100" s="138"/>
      <c r="E100" s="138"/>
      <c r="F100" s="139"/>
      <c r="G100" s="140"/>
      <c r="H100" s="140"/>
    </row>
    <row r="101" spans="3:8" ht="12" customHeight="1">
      <c r="C101" s="138"/>
      <c r="D101" s="138"/>
      <c r="E101" s="138"/>
      <c r="F101" s="139"/>
      <c r="G101" s="140"/>
      <c r="H101" s="140"/>
    </row>
    <row r="102" spans="3:8" ht="12" customHeight="1">
      <c r="C102" s="138"/>
      <c r="D102" s="138"/>
      <c r="E102" s="138"/>
      <c r="F102" s="139"/>
      <c r="G102" s="140"/>
      <c r="H102" s="140"/>
    </row>
    <row r="103" spans="3:8" ht="12" customHeight="1">
      <c r="C103" s="138"/>
      <c r="D103" s="138"/>
      <c r="E103" s="138"/>
      <c r="F103" s="139"/>
      <c r="G103" s="140"/>
      <c r="H103" s="140"/>
    </row>
    <row r="104" spans="3:8" ht="12" customHeight="1">
      <c r="C104" s="138"/>
      <c r="D104" s="138"/>
      <c r="E104" s="138"/>
      <c r="F104" s="139"/>
      <c r="G104" s="140"/>
      <c r="H104" s="140"/>
    </row>
    <row r="105" spans="3:8" ht="12" customHeight="1">
      <c r="C105" s="138"/>
      <c r="D105" s="138"/>
      <c r="E105" s="138"/>
      <c r="F105" s="139"/>
      <c r="G105" s="140"/>
      <c r="H105" s="140"/>
    </row>
    <row r="106" spans="3:8" ht="12" customHeight="1">
      <c r="C106" s="138"/>
      <c r="D106" s="138"/>
      <c r="E106" s="138"/>
      <c r="F106" s="139"/>
      <c r="G106" s="140"/>
      <c r="H106" s="140"/>
    </row>
    <row r="107" spans="3:8" ht="12" customHeight="1">
      <c r="C107" s="138"/>
      <c r="D107" s="138"/>
      <c r="E107" s="138"/>
      <c r="F107" s="139"/>
      <c r="G107" s="140"/>
      <c r="H107" s="140"/>
    </row>
    <row r="108" spans="3:8" ht="12" customHeight="1">
      <c r="C108" s="138"/>
      <c r="D108" s="138"/>
      <c r="E108" s="138"/>
      <c r="F108" s="139"/>
      <c r="G108" s="140"/>
      <c r="H108" s="140"/>
    </row>
    <row r="109" spans="3:8" ht="12" customHeight="1">
      <c r="C109" s="138"/>
      <c r="D109" s="138"/>
      <c r="E109" s="138"/>
      <c r="F109" s="139"/>
      <c r="G109" s="140"/>
      <c r="H109" s="140"/>
    </row>
    <row r="110" spans="3:8" ht="12" customHeight="1">
      <c r="C110" s="138"/>
      <c r="D110" s="138"/>
      <c r="E110" s="138"/>
      <c r="F110" s="139"/>
      <c r="G110" s="140"/>
      <c r="H110" s="140"/>
    </row>
    <row r="111" spans="3:8" ht="12" customHeight="1">
      <c r="C111" s="138"/>
      <c r="D111" s="138"/>
      <c r="E111" s="138"/>
      <c r="F111" s="139"/>
      <c r="G111" s="140"/>
      <c r="H111" s="140"/>
    </row>
    <row r="112" spans="3:8" ht="12" customHeight="1">
      <c r="C112" s="138"/>
      <c r="D112" s="138"/>
      <c r="E112" s="138"/>
      <c r="F112" s="139"/>
      <c r="G112" s="140"/>
      <c r="H112" s="140"/>
    </row>
    <row r="113" spans="3:8" ht="12" customHeight="1">
      <c r="C113" s="138"/>
      <c r="D113" s="138"/>
      <c r="E113" s="138"/>
      <c r="F113" s="139"/>
      <c r="G113" s="140"/>
      <c r="H113" s="140"/>
    </row>
    <row r="114" spans="3:8" ht="12" customHeight="1">
      <c r="C114" s="138"/>
      <c r="D114" s="138"/>
      <c r="E114" s="138"/>
      <c r="F114" s="139"/>
      <c r="G114" s="140"/>
      <c r="H114" s="140"/>
    </row>
    <row r="115" spans="3:8" ht="12" customHeight="1">
      <c r="C115" s="138"/>
      <c r="D115" s="138"/>
      <c r="E115" s="138"/>
      <c r="F115" s="139"/>
      <c r="G115" s="140"/>
      <c r="H115" s="140"/>
    </row>
    <row r="116" spans="3:8" ht="12" customHeight="1">
      <c r="C116" s="138"/>
      <c r="D116" s="138"/>
      <c r="E116" s="138"/>
      <c r="F116" s="139"/>
      <c r="G116" s="140"/>
      <c r="H116" s="140"/>
    </row>
    <row r="117" spans="3:8" ht="12" customHeight="1">
      <c r="C117" s="138"/>
      <c r="D117" s="138"/>
      <c r="E117" s="138"/>
      <c r="F117" s="139"/>
      <c r="G117" s="140"/>
      <c r="H117" s="140"/>
    </row>
    <row r="118" spans="3:8" ht="12" customHeight="1">
      <c r="C118" s="138"/>
      <c r="D118" s="138"/>
      <c r="E118" s="138"/>
      <c r="F118" s="139"/>
      <c r="G118" s="140"/>
      <c r="H118" s="140"/>
    </row>
    <row r="119" spans="3:8" ht="12" customHeight="1">
      <c r="C119" s="138"/>
      <c r="D119" s="138"/>
      <c r="E119" s="138"/>
      <c r="F119" s="139"/>
      <c r="G119" s="140"/>
      <c r="H119" s="140"/>
    </row>
    <row r="120" spans="3:8" ht="12" customHeight="1">
      <c r="C120" s="138"/>
      <c r="D120" s="138"/>
      <c r="E120" s="138"/>
      <c r="F120" s="139"/>
      <c r="G120" s="140"/>
      <c r="H120" s="140"/>
    </row>
    <row r="121" spans="3:8" ht="12" customHeight="1">
      <c r="C121" s="138"/>
      <c r="D121" s="138"/>
      <c r="E121" s="138"/>
      <c r="F121" s="139"/>
      <c r="G121" s="140"/>
      <c r="H121" s="140"/>
    </row>
    <row r="122" spans="3:8" ht="12" customHeight="1">
      <c r="C122" s="138"/>
      <c r="D122" s="138"/>
      <c r="E122" s="138"/>
      <c r="F122" s="139"/>
      <c r="G122" s="140"/>
      <c r="H122" s="140"/>
    </row>
    <row r="123" spans="3:8" ht="12" customHeight="1">
      <c r="C123" s="138"/>
      <c r="D123" s="138"/>
      <c r="E123" s="138"/>
      <c r="F123" s="139"/>
      <c r="G123" s="140"/>
      <c r="H123" s="140"/>
    </row>
    <row r="124" spans="3:8" ht="12" customHeight="1">
      <c r="C124" s="138"/>
      <c r="D124" s="138"/>
      <c r="E124" s="138"/>
      <c r="F124" s="139"/>
      <c r="G124" s="140"/>
      <c r="H124" s="140"/>
    </row>
  </sheetData>
  <mergeCells count="6">
    <mergeCell ref="A14:I14"/>
    <mergeCell ref="A4:I4"/>
    <mergeCell ref="A6:I6"/>
    <mergeCell ref="A8:I8"/>
    <mergeCell ref="A10:I10"/>
    <mergeCell ref="A12:I12"/>
  </mergeCells>
  <phoneticPr fontId="2" type="noConversion"/>
  <pageMargins left="0.74803149606299213" right="0.74803149606299213" top="0.9055118110236221" bottom="0.78740157480314965" header="0.51181102362204722" footer="0.51181102362204722"/>
  <pageSetup paperSize="9" scale="85" fitToHeight="3" orientation="landscape" r:id="rId1"/>
  <headerFooter alignWithMargins="0"/>
  <legacyDrawingHF r:id="rId2"/>
</worksheet>
</file>

<file path=xl/worksheets/sheet29.xml><?xml version="1.0" encoding="utf-8"?>
<worksheet xmlns="http://schemas.openxmlformats.org/spreadsheetml/2006/main" xmlns:r="http://schemas.openxmlformats.org/officeDocument/2006/relationships">
  <sheetPr codeName="Sheet38" enableFormatConditionsCalculation="0">
    <tabColor indexed="41"/>
  </sheetPr>
  <dimension ref="A1:L124"/>
  <sheetViews>
    <sheetView view="pageBreakPreview" topLeftCell="A2" zoomScale="85" zoomScaleSheetLayoutView="85" workbookViewId="0">
      <selection activeCell="J7" sqref="J7"/>
    </sheetView>
  </sheetViews>
  <sheetFormatPr defaultRowHeight="12" customHeight="1"/>
  <cols>
    <col min="1" max="1" width="14.6640625" style="137" customWidth="1"/>
    <col min="2" max="2" width="5.33203125" style="133" customWidth="1"/>
    <col min="3" max="3" width="17.88671875" style="133" customWidth="1"/>
    <col min="4" max="4" width="35.88671875" style="133" customWidth="1"/>
    <col min="5" max="5" width="11.6640625" style="133" customWidth="1"/>
    <col min="6" max="6" width="5.44140625" style="134" customWidth="1"/>
    <col min="7" max="7" width="10.5546875" style="141" customWidth="1"/>
    <col min="8" max="8" width="10.6640625" style="141" customWidth="1"/>
    <col min="9" max="9" width="10.5546875" style="135" customWidth="1"/>
    <col min="10" max="10" width="8.5546875" style="136" customWidth="1"/>
    <col min="11" max="16384" width="8.88671875" style="128"/>
  </cols>
  <sheetData>
    <row r="1" spans="1:12" s="125" customFormat="1" ht="30" customHeight="1" thickBot="1">
      <c r="A1" s="322" t="s">
        <v>86</v>
      </c>
      <c r="B1" s="323"/>
      <c r="C1" s="322" t="str">
        <f>기술투자!B8</f>
        <v>☆☆엔지니어링</v>
      </c>
      <c r="D1" s="322"/>
      <c r="E1" s="322"/>
      <c r="F1" s="121"/>
      <c r="G1" s="557" t="s">
        <v>279</v>
      </c>
      <c r="H1" s="558">
        <v>42213</v>
      </c>
      <c r="I1" s="121"/>
      <c r="J1" s="121"/>
      <c r="K1" s="124"/>
      <c r="L1" s="124"/>
    </row>
    <row r="2" spans="1:12" s="126" customFormat="1" ht="35.1" customHeight="1">
      <c r="A2" s="624" t="s">
        <v>221</v>
      </c>
      <c r="B2" s="625" t="s">
        <v>222</v>
      </c>
      <c r="C2" s="625" t="s">
        <v>223</v>
      </c>
      <c r="D2" s="625" t="s">
        <v>246</v>
      </c>
      <c r="E2" s="625" t="s">
        <v>226</v>
      </c>
      <c r="F2" s="625" t="s">
        <v>227</v>
      </c>
      <c r="G2" s="625" t="s">
        <v>229</v>
      </c>
      <c r="H2" s="625" t="s">
        <v>224</v>
      </c>
      <c r="I2" s="625" t="s">
        <v>225</v>
      </c>
      <c r="J2" s="626" t="s">
        <v>185</v>
      </c>
    </row>
    <row r="3" spans="1:12" s="127" customFormat="1" ht="78.75" customHeight="1">
      <c r="A3" s="601" t="s">
        <v>275</v>
      </c>
      <c r="B3" s="258">
        <v>1</v>
      </c>
      <c r="C3" s="528" t="s">
        <v>444</v>
      </c>
      <c r="D3" s="537" t="s">
        <v>445</v>
      </c>
      <c r="E3" s="274" t="s">
        <v>814</v>
      </c>
      <c r="F3" s="279">
        <v>1</v>
      </c>
      <c r="G3" s="276">
        <v>39913</v>
      </c>
      <c r="H3" s="277">
        <f>$H$1-G3</f>
        <v>2300</v>
      </c>
      <c r="I3" s="276">
        <v>43564</v>
      </c>
      <c r="J3" s="561">
        <f>1/F3</f>
        <v>1</v>
      </c>
    </row>
    <row r="4" spans="1:12" s="434" customFormat="1" ht="35.1" customHeight="1">
      <c r="A4" s="1111" t="s">
        <v>228</v>
      </c>
      <c r="B4" s="1112"/>
      <c r="C4" s="1112"/>
      <c r="D4" s="1112"/>
      <c r="E4" s="1112"/>
      <c r="F4" s="1112"/>
      <c r="G4" s="1112"/>
      <c r="H4" s="1112"/>
      <c r="I4" s="1112"/>
      <c r="J4" s="562">
        <f>SUM(J3:J3)</f>
        <v>1</v>
      </c>
    </row>
    <row r="5" spans="1:12" ht="168" customHeight="1">
      <c r="A5" s="786" t="s">
        <v>446</v>
      </c>
      <c r="B5" s="258">
        <v>1</v>
      </c>
      <c r="C5" s="537" t="s">
        <v>814</v>
      </c>
      <c r="D5" s="537" t="s">
        <v>814</v>
      </c>
      <c r="E5" s="274" t="s">
        <v>814</v>
      </c>
      <c r="F5" s="279">
        <v>1</v>
      </c>
      <c r="G5" s="276">
        <v>39141</v>
      </c>
      <c r="H5" s="277">
        <f>$H$1-G5</f>
        <v>3072</v>
      </c>
      <c r="I5" s="276">
        <v>46446</v>
      </c>
      <c r="J5" s="561">
        <f>1/F5</f>
        <v>1</v>
      </c>
    </row>
    <row r="6" spans="1:12" s="435" customFormat="1" ht="35.1" customHeight="1">
      <c r="A6" s="1111" t="s">
        <v>231</v>
      </c>
      <c r="B6" s="1112"/>
      <c r="C6" s="1112"/>
      <c r="D6" s="1112"/>
      <c r="E6" s="1112"/>
      <c r="F6" s="1112"/>
      <c r="G6" s="1112"/>
      <c r="H6" s="1112"/>
      <c r="I6" s="1112"/>
      <c r="J6" s="562">
        <f>SUM(J5)</f>
        <v>1</v>
      </c>
    </row>
    <row r="7" spans="1:12" ht="168" customHeight="1">
      <c r="A7" s="601" t="s">
        <v>446</v>
      </c>
      <c r="B7" s="258">
        <v>1</v>
      </c>
      <c r="C7" s="537" t="s">
        <v>814</v>
      </c>
      <c r="D7" s="537" t="s">
        <v>814</v>
      </c>
      <c r="E7" s="274" t="s">
        <v>814</v>
      </c>
      <c r="F7" s="279">
        <v>1</v>
      </c>
      <c r="G7" s="276">
        <v>39141</v>
      </c>
      <c r="H7" s="277">
        <f>$H$1-G7</f>
        <v>3072</v>
      </c>
      <c r="I7" s="276">
        <v>46446</v>
      </c>
      <c r="J7" s="561">
        <f>1/F7</f>
        <v>1</v>
      </c>
    </row>
    <row r="8" spans="1:12" s="435" customFormat="1" ht="35.1" customHeight="1">
      <c r="A8" s="1111" t="s">
        <v>232</v>
      </c>
      <c r="B8" s="1112"/>
      <c r="C8" s="1112"/>
      <c r="D8" s="1112"/>
      <c r="E8" s="1112"/>
      <c r="F8" s="1112"/>
      <c r="G8" s="1112"/>
      <c r="H8" s="1112"/>
      <c r="I8" s="1112"/>
      <c r="J8" s="562">
        <f>SUM(J7:J7)</f>
        <v>1</v>
      </c>
    </row>
    <row r="9" spans="1:12" s="127" customFormat="1" ht="35.1" customHeight="1">
      <c r="A9" s="601" t="s">
        <v>272</v>
      </c>
      <c r="B9" s="258"/>
      <c r="C9" s="258"/>
      <c r="D9" s="258"/>
      <c r="E9" s="274"/>
      <c r="F9" s="279"/>
      <c r="G9" s="276"/>
      <c r="H9" s="277"/>
      <c r="I9" s="278"/>
      <c r="J9" s="561"/>
    </row>
    <row r="10" spans="1:12" s="434" customFormat="1" ht="35.1" customHeight="1">
      <c r="A10" s="1111" t="s">
        <v>276</v>
      </c>
      <c r="B10" s="1112"/>
      <c r="C10" s="1112"/>
      <c r="D10" s="1112"/>
      <c r="E10" s="1112"/>
      <c r="F10" s="1112"/>
      <c r="G10" s="1112"/>
      <c r="H10" s="1112"/>
      <c r="I10" s="1112"/>
      <c r="J10" s="562">
        <f>SUM(J9:J9)</f>
        <v>0</v>
      </c>
    </row>
    <row r="11" spans="1:12" s="127" customFormat="1" ht="35.1" customHeight="1">
      <c r="A11" s="601" t="s">
        <v>230</v>
      </c>
      <c r="B11" s="258"/>
      <c r="C11" s="258"/>
      <c r="D11" s="258"/>
      <c r="E11" s="274"/>
      <c r="F11" s="279"/>
      <c r="G11" s="276"/>
      <c r="H11" s="277"/>
      <c r="I11" s="278"/>
      <c r="J11" s="561"/>
    </row>
    <row r="12" spans="1:12" s="434" customFormat="1" ht="35.1" customHeight="1">
      <c r="A12" s="1111" t="s">
        <v>277</v>
      </c>
      <c r="B12" s="1112"/>
      <c r="C12" s="1112"/>
      <c r="D12" s="1112"/>
      <c r="E12" s="1112"/>
      <c r="F12" s="1112"/>
      <c r="G12" s="1112"/>
      <c r="H12" s="1112"/>
      <c r="I12" s="1112"/>
      <c r="J12" s="562">
        <f>SUM(J11:J11)</f>
        <v>0</v>
      </c>
    </row>
    <row r="13" spans="1:12" s="127" customFormat="1" ht="35.1" customHeight="1">
      <c r="A13" s="601" t="s">
        <v>230</v>
      </c>
      <c r="B13" s="258"/>
      <c r="C13" s="258"/>
      <c r="D13" s="258"/>
      <c r="E13" s="274"/>
      <c r="F13" s="279"/>
      <c r="G13" s="276"/>
      <c r="H13" s="277"/>
      <c r="I13" s="278"/>
      <c r="J13" s="561"/>
    </row>
    <row r="14" spans="1:12" s="434" customFormat="1" ht="35.1" customHeight="1" thickBot="1">
      <c r="A14" s="1109" t="s">
        <v>278</v>
      </c>
      <c r="B14" s="1110"/>
      <c r="C14" s="1110"/>
      <c r="D14" s="1110"/>
      <c r="E14" s="1110"/>
      <c r="F14" s="1110"/>
      <c r="G14" s="1110"/>
      <c r="H14" s="1110"/>
      <c r="I14" s="1110"/>
      <c r="J14" s="563">
        <f>SUM(J13:J13)</f>
        <v>0</v>
      </c>
    </row>
    <row r="15" spans="1:12" s="197" customFormat="1" ht="24.95" customHeight="1">
      <c r="A15" s="249" t="s">
        <v>280</v>
      </c>
      <c r="B15" s="160" t="s">
        <v>281</v>
      </c>
      <c r="C15" s="272"/>
      <c r="D15" s="272"/>
      <c r="E15" s="272"/>
      <c r="F15" s="273"/>
      <c r="G15" s="273"/>
      <c r="H15" s="273"/>
      <c r="I15" s="280"/>
      <c r="J15" s="199"/>
    </row>
    <row r="16" spans="1:12" s="197" customFormat="1" ht="24.95" customHeight="1">
      <c r="A16" s="249" t="s">
        <v>282</v>
      </c>
      <c r="B16" s="160" t="s">
        <v>283</v>
      </c>
      <c r="C16" s="272"/>
      <c r="D16" s="272"/>
      <c r="E16" s="272"/>
      <c r="F16" s="273"/>
      <c r="G16" s="273"/>
      <c r="H16" s="273"/>
      <c r="I16" s="280"/>
      <c r="J16" s="199"/>
    </row>
    <row r="17" spans="1:10" s="197" customFormat="1" ht="24.95" customHeight="1">
      <c r="A17" s="249" t="s">
        <v>284</v>
      </c>
      <c r="B17" s="160" t="s">
        <v>285</v>
      </c>
      <c r="C17" s="272"/>
      <c r="D17" s="272"/>
      <c r="E17" s="272"/>
      <c r="F17" s="273"/>
      <c r="G17" s="273"/>
      <c r="H17" s="273"/>
      <c r="I17" s="280"/>
      <c r="J17" s="199"/>
    </row>
    <row r="18" spans="1:10" ht="15" customHeight="1">
      <c r="A18" s="132"/>
      <c r="G18" s="134"/>
      <c r="H18" s="134"/>
    </row>
    <row r="19" spans="1:10" ht="15" customHeight="1">
      <c r="A19" s="132"/>
      <c r="G19" s="134"/>
      <c r="H19" s="134"/>
    </row>
    <row r="20" spans="1:10" ht="15" customHeight="1">
      <c r="C20" s="138"/>
      <c r="D20" s="138"/>
      <c r="E20" s="138"/>
      <c r="F20" s="139"/>
      <c r="G20" s="140"/>
      <c r="H20" s="140"/>
    </row>
    <row r="21" spans="1:10" ht="15" customHeight="1">
      <c r="C21" s="138"/>
      <c r="D21" s="138"/>
      <c r="E21" s="138"/>
      <c r="F21" s="139"/>
      <c r="G21" s="140"/>
      <c r="H21" s="140"/>
    </row>
    <row r="22" spans="1:10" ht="15" customHeight="1">
      <c r="C22" s="138"/>
      <c r="D22" s="138"/>
      <c r="E22" s="138"/>
      <c r="F22" s="139"/>
      <c r="G22" s="140"/>
      <c r="H22" s="140"/>
    </row>
    <row r="23" spans="1:10" ht="15" customHeight="1">
      <c r="C23" s="138"/>
      <c r="D23" s="138"/>
      <c r="E23" s="138"/>
      <c r="F23" s="139"/>
      <c r="G23" s="140"/>
      <c r="H23" s="140"/>
    </row>
    <row r="24" spans="1:10" ht="15" customHeight="1">
      <c r="C24" s="138"/>
      <c r="D24" s="138"/>
      <c r="E24" s="138"/>
      <c r="F24" s="139"/>
      <c r="G24" s="140"/>
      <c r="H24" s="140"/>
    </row>
    <row r="25" spans="1:10" ht="12" customHeight="1">
      <c r="C25" s="138"/>
      <c r="D25" s="138"/>
      <c r="E25" s="138"/>
      <c r="F25" s="139"/>
      <c r="G25" s="140"/>
      <c r="H25" s="140"/>
    </row>
    <row r="26" spans="1:10" ht="12" customHeight="1">
      <c r="C26" s="138"/>
      <c r="D26" s="138"/>
      <c r="E26" s="138"/>
      <c r="F26" s="139"/>
      <c r="G26" s="140"/>
      <c r="H26" s="140"/>
    </row>
    <row r="27" spans="1:10" ht="12" customHeight="1">
      <c r="C27" s="138"/>
      <c r="D27" s="138"/>
      <c r="E27" s="138"/>
      <c r="F27" s="139"/>
      <c r="G27" s="140"/>
      <c r="H27" s="140"/>
    </row>
    <row r="28" spans="1:10" ht="12" customHeight="1">
      <c r="C28" s="138"/>
      <c r="D28" s="138"/>
      <c r="E28" s="138"/>
      <c r="F28" s="139"/>
      <c r="G28" s="140"/>
      <c r="H28" s="140"/>
    </row>
    <row r="29" spans="1:10" ht="12" customHeight="1">
      <c r="C29" s="138"/>
      <c r="D29" s="138"/>
      <c r="E29" s="138"/>
      <c r="F29" s="139"/>
      <c r="G29" s="140"/>
      <c r="H29" s="140"/>
    </row>
    <row r="30" spans="1:10" ht="12" customHeight="1">
      <c r="C30" s="138"/>
      <c r="D30" s="138"/>
      <c r="E30" s="138"/>
      <c r="F30" s="139"/>
      <c r="G30" s="140"/>
      <c r="H30" s="140"/>
    </row>
    <row r="31" spans="1:10" ht="12" customHeight="1">
      <c r="C31" s="138"/>
      <c r="D31" s="138"/>
      <c r="E31" s="138"/>
      <c r="F31" s="139"/>
      <c r="G31" s="140"/>
      <c r="H31" s="140"/>
    </row>
    <row r="32" spans="1:10" ht="12" customHeight="1">
      <c r="C32" s="138"/>
      <c r="D32" s="138"/>
      <c r="E32" s="138"/>
      <c r="F32" s="139"/>
      <c r="G32" s="140"/>
      <c r="H32" s="140"/>
    </row>
    <row r="33" spans="3:8" ht="12" customHeight="1">
      <c r="C33" s="138"/>
      <c r="D33" s="138"/>
      <c r="E33" s="138"/>
      <c r="F33" s="139"/>
      <c r="G33" s="140"/>
      <c r="H33" s="140"/>
    </row>
    <row r="34" spans="3:8" ht="12" customHeight="1">
      <c r="C34" s="138"/>
      <c r="D34" s="138"/>
      <c r="E34" s="138"/>
      <c r="F34" s="139"/>
      <c r="G34" s="140"/>
      <c r="H34" s="140"/>
    </row>
    <row r="35" spans="3:8" ht="12" customHeight="1">
      <c r="C35" s="138"/>
      <c r="D35" s="138"/>
      <c r="E35" s="138"/>
      <c r="F35" s="139"/>
      <c r="G35" s="140"/>
      <c r="H35" s="140"/>
    </row>
    <row r="36" spans="3:8" ht="12" customHeight="1">
      <c r="C36" s="138"/>
      <c r="D36" s="138"/>
      <c r="E36" s="138"/>
      <c r="F36" s="139"/>
      <c r="G36" s="140"/>
      <c r="H36" s="140"/>
    </row>
    <row r="37" spans="3:8" ht="12" customHeight="1">
      <c r="C37" s="138"/>
      <c r="D37" s="138"/>
      <c r="E37" s="138"/>
      <c r="F37" s="139"/>
      <c r="G37" s="140"/>
      <c r="H37" s="140"/>
    </row>
    <row r="38" spans="3:8" ht="12" customHeight="1">
      <c r="C38" s="138"/>
      <c r="D38" s="138"/>
      <c r="E38" s="138"/>
      <c r="F38" s="139"/>
      <c r="G38" s="140"/>
      <c r="H38" s="140"/>
    </row>
    <row r="39" spans="3:8" ht="12" customHeight="1">
      <c r="C39" s="138"/>
      <c r="D39" s="138"/>
      <c r="E39" s="138"/>
      <c r="F39" s="139"/>
      <c r="G39" s="140"/>
      <c r="H39" s="140"/>
    </row>
    <row r="40" spans="3:8" ht="12" customHeight="1">
      <c r="C40" s="138"/>
      <c r="D40" s="138"/>
      <c r="E40" s="138"/>
      <c r="F40" s="139"/>
      <c r="G40" s="140"/>
      <c r="H40" s="140"/>
    </row>
    <row r="41" spans="3:8" ht="12" customHeight="1">
      <c r="C41" s="138"/>
      <c r="D41" s="138"/>
      <c r="E41" s="138"/>
      <c r="F41" s="139"/>
      <c r="G41" s="140"/>
      <c r="H41" s="140"/>
    </row>
    <row r="42" spans="3:8" ht="12" customHeight="1">
      <c r="C42" s="138"/>
      <c r="D42" s="138"/>
      <c r="E42" s="138"/>
      <c r="F42" s="139"/>
      <c r="G42" s="140"/>
      <c r="H42" s="140"/>
    </row>
    <row r="43" spans="3:8" ht="12" customHeight="1">
      <c r="C43" s="138"/>
      <c r="D43" s="138"/>
      <c r="E43" s="138"/>
      <c r="F43" s="139"/>
      <c r="G43" s="140"/>
      <c r="H43" s="140"/>
    </row>
    <row r="44" spans="3:8" ht="12" customHeight="1">
      <c r="C44" s="138"/>
      <c r="D44" s="138"/>
      <c r="E44" s="138"/>
      <c r="F44" s="139"/>
      <c r="G44" s="140"/>
      <c r="H44" s="140"/>
    </row>
    <row r="45" spans="3:8" ht="12" customHeight="1">
      <c r="C45" s="138"/>
      <c r="D45" s="138"/>
      <c r="E45" s="138"/>
      <c r="F45" s="139"/>
      <c r="G45" s="140"/>
      <c r="H45" s="140"/>
    </row>
    <row r="46" spans="3:8" ht="12" customHeight="1">
      <c r="C46" s="138"/>
      <c r="D46" s="138"/>
      <c r="E46" s="138"/>
      <c r="F46" s="139"/>
      <c r="G46" s="140"/>
      <c r="H46" s="140"/>
    </row>
    <row r="47" spans="3:8" ht="12" customHeight="1">
      <c r="C47" s="138"/>
      <c r="D47" s="138"/>
      <c r="E47" s="138"/>
      <c r="F47" s="139"/>
      <c r="G47" s="140"/>
      <c r="H47" s="140"/>
    </row>
    <row r="48" spans="3:8" ht="12" customHeight="1">
      <c r="C48" s="138"/>
      <c r="D48" s="138"/>
      <c r="E48" s="138"/>
      <c r="F48" s="139"/>
      <c r="G48" s="140"/>
      <c r="H48" s="140"/>
    </row>
    <row r="49" spans="3:8" ht="12" customHeight="1">
      <c r="C49" s="138"/>
      <c r="D49" s="138"/>
      <c r="E49" s="138"/>
      <c r="F49" s="139"/>
      <c r="G49" s="140"/>
      <c r="H49" s="140"/>
    </row>
    <row r="50" spans="3:8" ht="12" customHeight="1">
      <c r="C50" s="138"/>
      <c r="D50" s="138"/>
      <c r="E50" s="138"/>
      <c r="F50" s="139"/>
      <c r="G50" s="140"/>
      <c r="H50" s="140"/>
    </row>
    <row r="51" spans="3:8" ht="12" customHeight="1">
      <c r="C51" s="138"/>
      <c r="D51" s="138"/>
      <c r="E51" s="138"/>
      <c r="F51" s="139"/>
      <c r="G51" s="140"/>
      <c r="H51" s="140"/>
    </row>
    <row r="52" spans="3:8" ht="12" customHeight="1">
      <c r="C52" s="138"/>
      <c r="D52" s="138"/>
      <c r="E52" s="138"/>
      <c r="F52" s="139"/>
      <c r="G52" s="140"/>
      <c r="H52" s="140"/>
    </row>
    <row r="53" spans="3:8" ht="12" customHeight="1">
      <c r="C53" s="138"/>
      <c r="D53" s="138"/>
      <c r="E53" s="138"/>
      <c r="F53" s="139"/>
      <c r="G53" s="140"/>
      <c r="H53" s="140"/>
    </row>
    <row r="54" spans="3:8" ht="12" customHeight="1">
      <c r="C54" s="138"/>
      <c r="D54" s="138"/>
      <c r="E54" s="138"/>
      <c r="F54" s="139"/>
      <c r="G54" s="140"/>
      <c r="H54" s="140"/>
    </row>
    <row r="55" spans="3:8" ht="12" customHeight="1">
      <c r="C55" s="138"/>
      <c r="D55" s="138"/>
      <c r="E55" s="138"/>
      <c r="F55" s="139"/>
      <c r="G55" s="140"/>
      <c r="H55" s="140"/>
    </row>
    <row r="56" spans="3:8" ht="12" customHeight="1">
      <c r="C56" s="138"/>
      <c r="D56" s="138"/>
      <c r="E56" s="138"/>
      <c r="F56" s="139"/>
      <c r="G56" s="140"/>
      <c r="H56" s="140"/>
    </row>
    <row r="57" spans="3:8" ht="12" customHeight="1">
      <c r="C57" s="138"/>
      <c r="D57" s="138"/>
      <c r="E57" s="138"/>
      <c r="F57" s="139"/>
      <c r="G57" s="140"/>
      <c r="H57" s="140"/>
    </row>
    <row r="58" spans="3:8" ht="12" customHeight="1">
      <c r="C58" s="138"/>
      <c r="D58" s="138"/>
      <c r="E58" s="138"/>
      <c r="F58" s="139"/>
      <c r="G58" s="140"/>
      <c r="H58" s="140"/>
    </row>
    <row r="59" spans="3:8" ht="12" customHeight="1">
      <c r="C59" s="138"/>
      <c r="D59" s="138"/>
      <c r="E59" s="138"/>
      <c r="F59" s="139"/>
      <c r="G59" s="140"/>
      <c r="H59" s="140"/>
    </row>
    <row r="60" spans="3:8" ht="12" customHeight="1">
      <c r="C60" s="138"/>
      <c r="D60" s="138"/>
      <c r="E60" s="138"/>
      <c r="F60" s="139"/>
      <c r="G60" s="140"/>
      <c r="H60" s="140"/>
    </row>
    <row r="61" spans="3:8" ht="12" customHeight="1">
      <c r="C61" s="138"/>
      <c r="D61" s="138"/>
      <c r="E61" s="138"/>
      <c r="F61" s="139"/>
      <c r="G61" s="140"/>
      <c r="H61" s="140"/>
    </row>
    <row r="62" spans="3:8" ht="12" customHeight="1">
      <c r="C62" s="138"/>
      <c r="D62" s="138"/>
      <c r="E62" s="138"/>
      <c r="F62" s="139"/>
      <c r="G62" s="140"/>
      <c r="H62" s="140"/>
    </row>
    <row r="63" spans="3:8" ht="12" customHeight="1">
      <c r="C63" s="138"/>
      <c r="D63" s="138"/>
      <c r="E63" s="138"/>
      <c r="F63" s="139"/>
      <c r="G63" s="140"/>
      <c r="H63" s="140"/>
    </row>
    <row r="64" spans="3:8" ht="12" customHeight="1">
      <c r="C64" s="138"/>
      <c r="D64" s="138"/>
      <c r="E64" s="138"/>
      <c r="F64" s="139"/>
      <c r="G64" s="140"/>
      <c r="H64" s="140"/>
    </row>
    <row r="65" spans="3:8" ht="12" customHeight="1">
      <c r="C65" s="138"/>
      <c r="D65" s="138"/>
      <c r="E65" s="138"/>
      <c r="F65" s="139"/>
      <c r="G65" s="140"/>
      <c r="H65" s="140"/>
    </row>
    <row r="66" spans="3:8" ht="12" customHeight="1">
      <c r="C66" s="138"/>
      <c r="D66" s="138"/>
      <c r="E66" s="138"/>
      <c r="F66" s="139"/>
      <c r="G66" s="140"/>
      <c r="H66" s="140"/>
    </row>
    <row r="67" spans="3:8" ht="12" customHeight="1">
      <c r="C67" s="138"/>
      <c r="D67" s="138"/>
      <c r="E67" s="138"/>
      <c r="F67" s="139"/>
      <c r="G67" s="140"/>
      <c r="H67" s="140"/>
    </row>
    <row r="68" spans="3:8" ht="12" customHeight="1">
      <c r="C68" s="138"/>
      <c r="D68" s="138"/>
      <c r="E68" s="138"/>
      <c r="F68" s="139"/>
      <c r="G68" s="140"/>
      <c r="H68" s="140"/>
    </row>
    <row r="69" spans="3:8" ht="12" customHeight="1">
      <c r="C69" s="138"/>
      <c r="D69" s="138"/>
      <c r="E69" s="138"/>
      <c r="F69" s="139"/>
      <c r="G69" s="140"/>
      <c r="H69" s="140"/>
    </row>
    <row r="70" spans="3:8" ht="12" customHeight="1">
      <c r="C70" s="138"/>
      <c r="D70" s="138"/>
      <c r="E70" s="138"/>
      <c r="F70" s="139"/>
      <c r="G70" s="140"/>
      <c r="H70" s="140"/>
    </row>
    <row r="71" spans="3:8" ht="12" customHeight="1">
      <c r="C71" s="138"/>
      <c r="D71" s="138"/>
      <c r="E71" s="138"/>
      <c r="F71" s="139"/>
      <c r="G71" s="140"/>
      <c r="H71" s="140"/>
    </row>
    <row r="72" spans="3:8" ht="12" customHeight="1">
      <c r="C72" s="138"/>
      <c r="D72" s="138"/>
      <c r="E72" s="138"/>
      <c r="F72" s="139"/>
      <c r="G72" s="140"/>
      <c r="H72" s="140"/>
    </row>
    <row r="73" spans="3:8" ht="12" customHeight="1">
      <c r="C73" s="138"/>
      <c r="D73" s="138"/>
      <c r="E73" s="138"/>
      <c r="F73" s="139"/>
      <c r="G73" s="140"/>
      <c r="H73" s="140"/>
    </row>
    <row r="74" spans="3:8" ht="12" customHeight="1">
      <c r="C74" s="138"/>
      <c r="D74" s="138"/>
      <c r="E74" s="138"/>
      <c r="F74" s="139"/>
      <c r="G74" s="140"/>
      <c r="H74" s="140"/>
    </row>
    <row r="75" spans="3:8" ht="12" customHeight="1">
      <c r="C75" s="138"/>
      <c r="D75" s="138"/>
      <c r="E75" s="138"/>
      <c r="F75" s="139"/>
      <c r="G75" s="140"/>
      <c r="H75" s="140"/>
    </row>
    <row r="76" spans="3:8" ht="12" customHeight="1">
      <c r="C76" s="138"/>
      <c r="D76" s="138"/>
      <c r="E76" s="138"/>
      <c r="F76" s="139"/>
      <c r="G76" s="140"/>
      <c r="H76" s="140"/>
    </row>
    <row r="77" spans="3:8" ht="12" customHeight="1">
      <c r="C77" s="138"/>
      <c r="D77" s="138"/>
      <c r="E77" s="138"/>
      <c r="F77" s="139"/>
      <c r="G77" s="140"/>
      <c r="H77" s="140"/>
    </row>
    <row r="78" spans="3:8" ht="12" customHeight="1">
      <c r="C78" s="138"/>
      <c r="D78" s="138"/>
      <c r="E78" s="138"/>
      <c r="F78" s="139"/>
      <c r="G78" s="140"/>
      <c r="H78" s="140"/>
    </row>
    <row r="79" spans="3:8" ht="12" customHeight="1">
      <c r="C79" s="138"/>
      <c r="D79" s="138"/>
      <c r="E79" s="138"/>
      <c r="F79" s="139"/>
      <c r="G79" s="140"/>
      <c r="H79" s="140"/>
    </row>
    <row r="80" spans="3:8" ht="12" customHeight="1">
      <c r="C80" s="138"/>
      <c r="D80" s="138"/>
      <c r="E80" s="138"/>
      <c r="F80" s="139"/>
      <c r="G80" s="140"/>
      <c r="H80" s="140"/>
    </row>
    <row r="81" spans="3:8" ht="12" customHeight="1">
      <c r="C81" s="138"/>
      <c r="D81" s="138"/>
      <c r="E81" s="138"/>
      <c r="F81" s="139"/>
      <c r="G81" s="140"/>
      <c r="H81" s="140"/>
    </row>
    <row r="82" spans="3:8" ht="12" customHeight="1">
      <c r="C82" s="138"/>
      <c r="D82" s="138"/>
      <c r="E82" s="138"/>
      <c r="F82" s="139"/>
      <c r="G82" s="140"/>
      <c r="H82" s="140"/>
    </row>
    <row r="83" spans="3:8" ht="12" customHeight="1">
      <c r="C83" s="138"/>
      <c r="D83" s="138"/>
      <c r="E83" s="138"/>
      <c r="F83" s="139"/>
      <c r="G83" s="140"/>
      <c r="H83" s="140"/>
    </row>
    <row r="84" spans="3:8" ht="12" customHeight="1">
      <c r="C84" s="138"/>
      <c r="D84" s="138"/>
      <c r="E84" s="138"/>
      <c r="F84" s="139"/>
      <c r="G84" s="140"/>
      <c r="H84" s="140"/>
    </row>
    <row r="85" spans="3:8" ht="12" customHeight="1">
      <c r="C85" s="138"/>
      <c r="D85" s="138"/>
      <c r="E85" s="138"/>
      <c r="F85" s="139"/>
      <c r="G85" s="140"/>
      <c r="H85" s="140"/>
    </row>
    <row r="86" spans="3:8" ht="12" customHeight="1">
      <c r="C86" s="138"/>
      <c r="D86" s="138"/>
      <c r="E86" s="138"/>
      <c r="F86" s="139"/>
      <c r="G86" s="140"/>
      <c r="H86" s="140"/>
    </row>
    <row r="87" spans="3:8" ht="12" customHeight="1">
      <c r="C87" s="138"/>
      <c r="D87" s="138"/>
      <c r="E87" s="138"/>
      <c r="F87" s="139"/>
      <c r="G87" s="140"/>
      <c r="H87" s="140"/>
    </row>
    <row r="88" spans="3:8" ht="12" customHeight="1">
      <c r="C88" s="138"/>
      <c r="D88" s="138"/>
      <c r="E88" s="138"/>
      <c r="F88" s="139"/>
      <c r="G88" s="140"/>
      <c r="H88" s="140"/>
    </row>
    <row r="89" spans="3:8" ht="12" customHeight="1">
      <c r="C89" s="138"/>
      <c r="D89" s="138"/>
      <c r="E89" s="138"/>
      <c r="F89" s="139"/>
      <c r="G89" s="140"/>
      <c r="H89" s="140"/>
    </row>
    <row r="90" spans="3:8" ht="12" customHeight="1">
      <c r="C90" s="138"/>
      <c r="D90" s="138"/>
      <c r="E90" s="138"/>
      <c r="F90" s="139"/>
      <c r="G90" s="140"/>
      <c r="H90" s="140"/>
    </row>
    <row r="91" spans="3:8" ht="12" customHeight="1">
      <c r="C91" s="138"/>
      <c r="D91" s="138"/>
      <c r="E91" s="138"/>
      <c r="F91" s="139"/>
      <c r="G91" s="140"/>
      <c r="H91" s="140"/>
    </row>
    <row r="92" spans="3:8" ht="12" customHeight="1">
      <c r="C92" s="138"/>
      <c r="D92" s="138"/>
      <c r="E92" s="138"/>
      <c r="F92" s="139"/>
      <c r="G92" s="140"/>
      <c r="H92" s="140"/>
    </row>
    <row r="93" spans="3:8" ht="12" customHeight="1">
      <c r="C93" s="138"/>
      <c r="D93" s="138"/>
      <c r="E93" s="138"/>
      <c r="F93" s="139"/>
      <c r="G93" s="140"/>
      <c r="H93" s="140"/>
    </row>
    <row r="94" spans="3:8" ht="12" customHeight="1">
      <c r="C94" s="138"/>
      <c r="D94" s="138"/>
      <c r="E94" s="138"/>
      <c r="F94" s="139"/>
      <c r="G94" s="140"/>
      <c r="H94" s="140"/>
    </row>
    <row r="95" spans="3:8" ht="12" customHeight="1">
      <c r="C95" s="138"/>
      <c r="D95" s="138"/>
      <c r="E95" s="138"/>
      <c r="F95" s="139"/>
      <c r="G95" s="140"/>
      <c r="H95" s="140"/>
    </row>
    <row r="96" spans="3:8" ht="12" customHeight="1">
      <c r="C96" s="138"/>
      <c r="D96" s="138"/>
      <c r="E96" s="138"/>
      <c r="F96" s="139"/>
      <c r="G96" s="140"/>
      <c r="H96" s="140"/>
    </row>
    <row r="97" spans="3:8" ht="12" customHeight="1">
      <c r="C97" s="138"/>
      <c r="D97" s="138"/>
      <c r="E97" s="138"/>
      <c r="F97" s="139"/>
      <c r="G97" s="140"/>
      <c r="H97" s="140"/>
    </row>
    <row r="98" spans="3:8" ht="12" customHeight="1">
      <c r="C98" s="138"/>
      <c r="D98" s="138"/>
      <c r="E98" s="138"/>
      <c r="F98" s="139"/>
      <c r="G98" s="140"/>
      <c r="H98" s="140"/>
    </row>
    <row r="99" spans="3:8" ht="12" customHeight="1">
      <c r="C99" s="138"/>
      <c r="D99" s="138"/>
      <c r="E99" s="138"/>
      <c r="F99" s="139"/>
      <c r="G99" s="140"/>
      <c r="H99" s="140"/>
    </row>
    <row r="100" spans="3:8" ht="12" customHeight="1">
      <c r="C100" s="138"/>
      <c r="D100" s="138"/>
      <c r="E100" s="138"/>
      <c r="F100" s="139"/>
      <c r="G100" s="140"/>
      <c r="H100" s="140"/>
    </row>
    <row r="101" spans="3:8" ht="12" customHeight="1">
      <c r="C101" s="138"/>
      <c r="D101" s="138"/>
      <c r="E101" s="138"/>
      <c r="F101" s="139"/>
      <c r="G101" s="140"/>
      <c r="H101" s="140"/>
    </row>
    <row r="102" spans="3:8" ht="12" customHeight="1">
      <c r="C102" s="138"/>
      <c r="D102" s="138"/>
      <c r="E102" s="138"/>
      <c r="F102" s="139"/>
      <c r="G102" s="140"/>
      <c r="H102" s="140"/>
    </row>
    <row r="103" spans="3:8" ht="12" customHeight="1">
      <c r="C103" s="138"/>
      <c r="D103" s="138"/>
      <c r="E103" s="138"/>
      <c r="F103" s="139"/>
      <c r="G103" s="140"/>
      <c r="H103" s="140"/>
    </row>
    <row r="104" spans="3:8" ht="12" customHeight="1">
      <c r="C104" s="138"/>
      <c r="D104" s="138"/>
      <c r="E104" s="138"/>
      <c r="F104" s="139"/>
      <c r="G104" s="140"/>
      <c r="H104" s="140"/>
    </row>
    <row r="105" spans="3:8" ht="12" customHeight="1">
      <c r="C105" s="138"/>
      <c r="D105" s="138"/>
      <c r="E105" s="138"/>
      <c r="F105" s="139"/>
      <c r="G105" s="140"/>
      <c r="H105" s="140"/>
    </row>
    <row r="106" spans="3:8" ht="12" customHeight="1">
      <c r="C106" s="138"/>
      <c r="D106" s="138"/>
      <c r="E106" s="138"/>
      <c r="F106" s="139"/>
      <c r="G106" s="140"/>
      <c r="H106" s="140"/>
    </row>
    <row r="107" spans="3:8" ht="12" customHeight="1">
      <c r="C107" s="138"/>
      <c r="D107" s="138"/>
      <c r="E107" s="138"/>
      <c r="F107" s="139"/>
      <c r="G107" s="140"/>
      <c r="H107" s="140"/>
    </row>
    <row r="108" spans="3:8" ht="12" customHeight="1">
      <c r="C108" s="138"/>
      <c r="D108" s="138"/>
      <c r="E108" s="138"/>
      <c r="F108" s="139"/>
      <c r="G108" s="140"/>
      <c r="H108" s="140"/>
    </row>
    <row r="109" spans="3:8" ht="12" customHeight="1">
      <c r="C109" s="138"/>
      <c r="D109" s="138"/>
      <c r="E109" s="138"/>
      <c r="F109" s="139"/>
      <c r="G109" s="140"/>
      <c r="H109" s="140"/>
    </row>
    <row r="110" spans="3:8" ht="12" customHeight="1">
      <c r="C110" s="138"/>
      <c r="D110" s="138"/>
      <c r="E110" s="138"/>
      <c r="F110" s="139"/>
      <c r="G110" s="140"/>
      <c r="H110" s="140"/>
    </row>
    <row r="111" spans="3:8" ht="12" customHeight="1">
      <c r="C111" s="138"/>
      <c r="D111" s="138"/>
      <c r="E111" s="138"/>
      <c r="F111" s="139"/>
      <c r="G111" s="140"/>
      <c r="H111" s="140"/>
    </row>
    <row r="112" spans="3:8" ht="12" customHeight="1">
      <c r="C112" s="138"/>
      <c r="D112" s="138"/>
      <c r="E112" s="138"/>
      <c r="F112" s="139"/>
      <c r="G112" s="140"/>
      <c r="H112" s="140"/>
    </row>
    <row r="113" spans="3:8" ht="12" customHeight="1">
      <c r="C113" s="138"/>
      <c r="D113" s="138"/>
      <c r="E113" s="138"/>
      <c r="F113" s="139"/>
      <c r="G113" s="140"/>
      <c r="H113" s="140"/>
    </row>
    <row r="114" spans="3:8" ht="12" customHeight="1">
      <c r="C114" s="138"/>
      <c r="D114" s="138"/>
      <c r="E114" s="138"/>
      <c r="F114" s="139"/>
      <c r="G114" s="140"/>
      <c r="H114" s="140"/>
    </row>
    <row r="115" spans="3:8" ht="12" customHeight="1">
      <c r="C115" s="138"/>
      <c r="D115" s="138"/>
      <c r="E115" s="138"/>
      <c r="F115" s="139"/>
      <c r="G115" s="140"/>
      <c r="H115" s="140"/>
    </row>
    <row r="116" spans="3:8" ht="12" customHeight="1">
      <c r="C116" s="138"/>
      <c r="D116" s="138"/>
      <c r="E116" s="138"/>
      <c r="F116" s="139"/>
      <c r="G116" s="140"/>
      <c r="H116" s="140"/>
    </row>
    <row r="117" spans="3:8" ht="12" customHeight="1">
      <c r="C117" s="138"/>
      <c r="D117" s="138"/>
      <c r="E117" s="138"/>
      <c r="F117" s="139"/>
      <c r="G117" s="140"/>
      <c r="H117" s="140"/>
    </row>
    <row r="118" spans="3:8" ht="12" customHeight="1">
      <c r="C118" s="138"/>
      <c r="D118" s="138"/>
      <c r="E118" s="138"/>
      <c r="F118" s="139"/>
      <c r="G118" s="140"/>
      <c r="H118" s="140"/>
    </row>
    <row r="119" spans="3:8" ht="12" customHeight="1">
      <c r="C119" s="138"/>
      <c r="D119" s="138"/>
      <c r="E119" s="138"/>
      <c r="F119" s="139"/>
      <c r="G119" s="140"/>
      <c r="H119" s="140"/>
    </row>
    <row r="120" spans="3:8" ht="12" customHeight="1">
      <c r="C120" s="138"/>
      <c r="D120" s="138"/>
      <c r="E120" s="138"/>
      <c r="F120" s="139"/>
      <c r="G120" s="140"/>
      <c r="H120" s="140"/>
    </row>
    <row r="121" spans="3:8" ht="12" customHeight="1">
      <c r="C121" s="138"/>
      <c r="D121" s="138"/>
      <c r="E121" s="138"/>
      <c r="F121" s="139"/>
      <c r="G121" s="140"/>
      <c r="H121" s="140"/>
    </row>
    <row r="122" spans="3:8" ht="12" customHeight="1">
      <c r="C122" s="138"/>
      <c r="D122" s="138"/>
      <c r="E122" s="138"/>
      <c r="F122" s="139"/>
      <c r="G122" s="140"/>
      <c r="H122" s="140"/>
    </row>
    <row r="123" spans="3:8" ht="12" customHeight="1">
      <c r="C123" s="138"/>
      <c r="D123" s="138"/>
      <c r="E123" s="138"/>
      <c r="F123" s="139"/>
      <c r="G123" s="140"/>
      <c r="H123" s="140"/>
    </row>
    <row r="124" spans="3:8" ht="12" customHeight="1">
      <c r="C124" s="138"/>
      <c r="D124" s="138"/>
      <c r="E124" s="138"/>
      <c r="F124" s="139"/>
      <c r="G124" s="140"/>
      <c r="H124" s="140"/>
    </row>
  </sheetData>
  <mergeCells count="6">
    <mergeCell ref="A14:I14"/>
    <mergeCell ref="A12:I12"/>
    <mergeCell ref="A4:I4"/>
    <mergeCell ref="A10:I10"/>
    <mergeCell ref="A6:I6"/>
    <mergeCell ref="A8:I8"/>
  </mergeCells>
  <phoneticPr fontId="23" type="noConversion"/>
  <pageMargins left="0.74803149606299213" right="0.74803149606299213" top="0.88" bottom="1.03" header="0.66" footer="0.76"/>
  <pageSetup paperSize="9" scale="85" fitToHeight="3" orientation="landscape" r:id="rId1"/>
  <headerFooter alignWithMargins="0"/>
  <legacyDrawingHF r:id="rId2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indexed="41"/>
  </sheetPr>
  <dimension ref="A1:M121"/>
  <sheetViews>
    <sheetView view="pageBreakPreview" zoomScaleNormal="115" workbookViewId="0">
      <selection activeCell="E7" sqref="E7"/>
    </sheetView>
  </sheetViews>
  <sheetFormatPr defaultRowHeight="12" customHeight="1"/>
  <cols>
    <col min="1" max="1" width="6.109375" style="137" customWidth="1"/>
    <col min="2" max="2" width="3.88671875" style="137" customWidth="1"/>
    <col min="3" max="3" width="5.5546875" style="137" customWidth="1"/>
    <col min="4" max="4" width="44.44140625" style="133" customWidth="1"/>
    <col min="5" max="7" width="7.77734375" style="133" customWidth="1"/>
    <col min="8" max="9" width="7.77734375" style="134" customWidth="1"/>
    <col min="10" max="10" width="7.77734375" style="141" customWidth="1"/>
    <col min="11" max="11" width="5" style="128" customWidth="1"/>
    <col min="12" max="16384" width="8.88671875" style="128"/>
  </cols>
  <sheetData>
    <row r="1" spans="1:13" s="125" customFormat="1" ht="30" customHeight="1" thickBot="1">
      <c r="A1" s="330" t="s">
        <v>827</v>
      </c>
      <c r="B1" s="119"/>
      <c r="C1" s="119"/>
      <c r="D1" s="143"/>
      <c r="E1" s="119"/>
      <c r="F1" s="119"/>
      <c r="G1" s="119"/>
      <c r="H1" s="120"/>
      <c r="I1" s="120"/>
      <c r="J1" s="120"/>
      <c r="K1" s="123"/>
      <c r="L1" s="124"/>
      <c r="M1" s="124"/>
    </row>
    <row r="2" spans="1:13" s="182" customFormat="1" ht="39.950000000000003" customHeight="1">
      <c r="A2" s="608" t="s">
        <v>266</v>
      </c>
      <c r="B2" s="438" t="s">
        <v>34</v>
      </c>
      <c r="C2" s="438" t="s">
        <v>288</v>
      </c>
      <c r="D2" s="438" t="s">
        <v>267</v>
      </c>
      <c r="E2" s="437" t="s">
        <v>268</v>
      </c>
      <c r="F2" s="438" t="s">
        <v>269</v>
      </c>
      <c r="G2" s="439" t="s">
        <v>235</v>
      </c>
      <c r="H2" s="439" t="s">
        <v>233</v>
      </c>
      <c r="I2" s="439" t="s">
        <v>234</v>
      </c>
      <c r="J2" s="440" t="s">
        <v>270</v>
      </c>
      <c r="K2" s="609" t="s">
        <v>39</v>
      </c>
    </row>
    <row r="3" spans="1:13" s="266" customFormat="1" ht="45" customHeight="1">
      <c r="A3" s="600" t="s">
        <v>271</v>
      </c>
      <c r="B3" s="258">
        <v>1</v>
      </c>
      <c r="C3" s="201">
        <v>401</v>
      </c>
      <c r="D3" s="201" t="s">
        <v>789</v>
      </c>
      <c r="E3" s="259">
        <v>1</v>
      </c>
      <c r="F3" s="260">
        <v>2058</v>
      </c>
      <c r="G3" s="260">
        <v>2</v>
      </c>
      <c r="H3" s="262">
        <f>IF(F3&gt;=2000,1,IF(F3&gt;=1800,0.9,IF(F3&gt;=1600,0.8,IF(F3&gt;=1400,0.7,IF(F3&gt;=1200,0.6,0)))))</f>
        <v>1</v>
      </c>
      <c r="I3" s="263">
        <f>IF(G3&gt;=5,1,IF(G3&gt;=4,0.9,IF(G3&gt;=3,0.8,IF(G3&gt;=2,0.7,IF(G3&gt;=1,0.6,0)))))</f>
        <v>0.7</v>
      </c>
      <c r="J3" s="264">
        <f>배점기준!$E$93*MAX(H3,I3)*E3</f>
        <v>1</v>
      </c>
      <c r="K3" s="265"/>
    </row>
    <row r="4" spans="1:13" s="266" customFormat="1" ht="45" customHeight="1">
      <c r="A4" s="600" t="s">
        <v>271</v>
      </c>
      <c r="B4" s="258">
        <v>2</v>
      </c>
      <c r="C4" s="201">
        <v>441</v>
      </c>
      <c r="D4" s="201" t="s">
        <v>790</v>
      </c>
      <c r="E4" s="259">
        <v>1</v>
      </c>
      <c r="F4" s="260">
        <v>1943</v>
      </c>
      <c r="G4" s="260">
        <v>1</v>
      </c>
      <c r="H4" s="262">
        <f>IF(F4&gt;=2000,1,IF(F4&gt;=1800,0.9,IF(F4&gt;=1600,0.8,IF(F4&gt;=1400,0.7,IF(F4&gt;=1200,0.6,0)))))</f>
        <v>0.9</v>
      </c>
      <c r="I4" s="263">
        <f>IF(G4&gt;=5,1,IF(G4&gt;=4,0.9,IF(G4&gt;=3,0.8,IF(G4&gt;=2,0.7,IF(G4&gt;=1,0.6,0)))))</f>
        <v>0.6</v>
      </c>
      <c r="J4" s="264">
        <f>배점기준!$E$93*MAX(H4,I4)*E4</f>
        <v>0.9</v>
      </c>
      <c r="K4" s="265"/>
    </row>
    <row r="5" spans="1:13" s="197" customFormat="1" ht="45" customHeight="1">
      <c r="A5" s="600" t="s">
        <v>271</v>
      </c>
      <c r="B5" s="258">
        <v>3</v>
      </c>
      <c r="C5" s="201">
        <v>453</v>
      </c>
      <c r="D5" s="201" t="s">
        <v>791</v>
      </c>
      <c r="E5" s="259">
        <v>1</v>
      </c>
      <c r="F5" s="260">
        <v>3326</v>
      </c>
      <c r="G5" s="260">
        <v>5</v>
      </c>
      <c r="H5" s="262">
        <f>IF(F5&gt;=2000,1,IF(F5&gt;=1800,0.9,IF(F5&gt;=1600,0.8,IF(F5&gt;=1400,0.7,IF(F5&gt;=1200,0.6,0)))))</f>
        <v>1</v>
      </c>
      <c r="I5" s="263">
        <f>IF(G5&gt;=5,1,IF(G5&gt;=4,0.9,IF(G5&gt;=3,0.8,IF(G5&gt;=2,0.7,IF(G5&gt;=1,0.6,0)))))</f>
        <v>1</v>
      </c>
      <c r="J5" s="264">
        <f>배점기준!$E$93*MAX(H5,I5)*E5</f>
        <v>1</v>
      </c>
      <c r="K5" s="265"/>
    </row>
    <row r="6" spans="1:13" s="266" customFormat="1" ht="45" customHeight="1">
      <c r="A6" s="1113" t="s">
        <v>228</v>
      </c>
      <c r="B6" s="1114"/>
      <c r="C6" s="1114"/>
      <c r="D6" s="1114"/>
      <c r="E6" s="1114"/>
      <c r="F6" s="1114"/>
      <c r="G6" s="1114"/>
      <c r="H6" s="1114"/>
      <c r="I6" s="1115"/>
      <c r="J6" s="519">
        <f>SUM(J3:J5)</f>
        <v>2.9</v>
      </c>
      <c r="K6" s="265"/>
    </row>
    <row r="7" spans="1:13" s="266" customFormat="1" ht="45" customHeight="1">
      <c r="A7" s="733" t="s">
        <v>792</v>
      </c>
      <c r="B7" s="686">
        <v>12</v>
      </c>
      <c r="C7" s="686" t="s">
        <v>793</v>
      </c>
      <c r="D7" s="685" t="s">
        <v>794</v>
      </c>
      <c r="E7" s="731">
        <v>0.6</v>
      </c>
      <c r="F7" s="732">
        <v>97</v>
      </c>
      <c r="G7" s="732">
        <v>1</v>
      </c>
      <c r="H7" s="262">
        <f>IF(F7&gt;=2000,1,IF(F7&gt;=1800,0.9,IF(F7&gt;=1600,0.8,IF(F7&gt;=1400,0.7,IF(F7&gt;=1200,0.6,0)))))</f>
        <v>0</v>
      </c>
      <c r="I7" s="263">
        <f>IF(G7&gt;=5,1,IF(G7&gt;=4,0.9,IF(G7&gt;=3,0.8,IF(G7&gt;=2,0.7,IF(G7&gt;=1,0.6,0)))))</f>
        <v>0.6</v>
      </c>
      <c r="J7" s="264">
        <f>배점기준!$F$86*MAX(H7,I7)*E7</f>
        <v>0.216</v>
      </c>
      <c r="K7" s="265"/>
    </row>
    <row r="8" spans="1:13" s="266" customFormat="1" ht="45" customHeight="1">
      <c r="A8" s="1111" t="s">
        <v>273</v>
      </c>
      <c r="B8" s="1112"/>
      <c r="C8" s="1112"/>
      <c r="D8" s="1112"/>
      <c r="E8" s="1112"/>
      <c r="F8" s="1112"/>
      <c r="G8" s="1112"/>
      <c r="H8" s="1112"/>
      <c r="I8" s="1112"/>
      <c r="J8" s="519">
        <f>SUM(J7:J7)</f>
        <v>0.216</v>
      </c>
      <c r="K8" s="265"/>
    </row>
    <row r="9" spans="1:13" s="197" customFormat="1" ht="45" customHeight="1">
      <c r="A9" s="601" t="s">
        <v>230</v>
      </c>
      <c r="B9" s="258"/>
      <c r="C9" s="258"/>
      <c r="D9" s="258"/>
      <c r="E9" s="259"/>
      <c r="F9" s="260"/>
      <c r="G9" s="260"/>
      <c r="H9" s="262"/>
      <c r="I9" s="263"/>
      <c r="J9" s="264"/>
      <c r="K9" s="265"/>
    </row>
    <row r="10" spans="1:13" s="266" customFormat="1" ht="45" customHeight="1" thickBot="1">
      <c r="A10" s="1109" t="s">
        <v>274</v>
      </c>
      <c r="B10" s="1110"/>
      <c r="C10" s="1110"/>
      <c r="D10" s="1110"/>
      <c r="E10" s="1110"/>
      <c r="F10" s="1110"/>
      <c r="G10" s="1110"/>
      <c r="H10" s="1110"/>
      <c r="I10" s="1110"/>
      <c r="J10" s="520">
        <f>SUM(J9:J9)</f>
        <v>0</v>
      </c>
      <c r="K10" s="267"/>
    </row>
    <row r="11" spans="1:13" s="197" customFormat="1" ht="15" customHeight="1">
      <c r="A11" s="268"/>
      <c r="B11" s="268"/>
      <c r="C11" s="286"/>
      <c r="D11" s="269"/>
      <c r="E11" s="269"/>
      <c r="F11" s="269"/>
      <c r="G11" s="269"/>
      <c r="H11" s="270"/>
      <c r="I11" s="270"/>
      <c r="J11" s="270"/>
    </row>
    <row r="12" spans="1:13" s="197" customFormat="1" ht="15" customHeight="1">
      <c r="A12" s="271"/>
      <c r="B12" s="271"/>
      <c r="C12" s="284"/>
      <c r="D12" s="272"/>
      <c r="E12" s="272"/>
      <c r="F12" s="272"/>
      <c r="G12" s="272"/>
      <c r="H12" s="273"/>
      <c r="I12" s="273"/>
      <c r="J12" s="273"/>
    </row>
    <row r="13" spans="1:13" ht="15" customHeight="1">
      <c r="A13" s="132"/>
      <c r="B13" s="132"/>
      <c r="C13" s="285"/>
      <c r="J13" s="134"/>
    </row>
    <row r="14" spans="1:13" ht="15" customHeight="1">
      <c r="A14" s="132"/>
      <c r="B14" s="132"/>
      <c r="C14" s="285"/>
      <c r="J14" s="134"/>
    </row>
    <row r="15" spans="1:13" ht="15" customHeight="1">
      <c r="A15" s="132"/>
      <c r="B15" s="132"/>
      <c r="C15" s="285"/>
      <c r="J15" s="134"/>
    </row>
    <row r="16" spans="1:13" ht="15" customHeight="1">
      <c r="A16" s="132"/>
      <c r="B16" s="132"/>
      <c r="C16" s="285"/>
      <c r="J16" s="134"/>
    </row>
    <row r="17" spans="5:10" ht="15" customHeight="1">
      <c r="E17" s="138"/>
      <c r="F17" s="138"/>
      <c r="G17" s="138"/>
      <c r="H17" s="139"/>
      <c r="I17" s="139"/>
      <c r="J17" s="140"/>
    </row>
    <row r="18" spans="5:10" ht="15" customHeight="1">
      <c r="E18" s="138"/>
      <c r="F18" s="138"/>
      <c r="G18" s="138"/>
      <c r="H18" s="139"/>
      <c r="I18" s="139"/>
      <c r="J18" s="140"/>
    </row>
    <row r="19" spans="5:10" ht="15" customHeight="1">
      <c r="E19" s="138"/>
      <c r="F19" s="138"/>
      <c r="G19" s="138"/>
      <c r="H19" s="139"/>
      <c r="I19" s="139"/>
      <c r="J19" s="140"/>
    </row>
    <row r="20" spans="5:10" ht="15" customHeight="1">
      <c r="E20" s="138"/>
      <c r="F20" s="138"/>
      <c r="G20" s="138"/>
      <c r="H20" s="139"/>
      <c r="I20" s="139"/>
      <c r="J20" s="140"/>
    </row>
    <row r="21" spans="5:10" ht="15" customHeight="1">
      <c r="E21" s="138"/>
      <c r="F21" s="138"/>
      <c r="G21" s="138"/>
      <c r="H21" s="139"/>
      <c r="I21" s="139"/>
      <c r="J21" s="140"/>
    </row>
    <row r="22" spans="5:10" ht="12" customHeight="1">
      <c r="E22" s="138"/>
      <c r="F22" s="138"/>
      <c r="G22" s="138"/>
      <c r="H22" s="139"/>
      <c r="I22" s="139"/>
      <c r="J22" s="140"/>
    </row>
    <row r="23" spans="5:10" ht="12" customHeight="1">
      <c r="E23" s="138"/>
      <c r="F23" s="138"/>
      <c r="G23" s="138"/>
      <c r="H23" s="139"/>
      <c r="I23" s="139"/>
      <c r="J23" s="140"/>
    </row>
    <row r="24" spans="5:10" ht="12" customHeight="1">
      <c r="E24" s="138"/>
      <c r="F24" s="138"/>
      <c r="G24" s="138"/>
      <c r="H24" s="139"/>
      <c r="I24" s="139"/>
      <c r="J24" s="140"/>
    </row>
    <row r="25" spans="5:10" ht="12" customHeight="1">
      <c r="E25" s="138"/>
      <c r="F25" s="138"/>
      <c r="G25" s="138"/>
      <c r="H25" s="139"/>
      <c r="I25" s="139"/>
      <c r="J25" s="140"/>
    </row>
    <row r="26" spans="5:10" ht="12" customHeight="1">
      <c r="E26" s="138"/>
      <c r="F26" s="138"/>
      <c r="G26" s="138"/>
      <c r="H26" s="139"/>
      <c r="I26" s="139"/>
      <c r="J26" s="140"/>
    </row>
    <row r="27" spans="5:10" ht="12" customHeight="1">
      <c r="E27" s="138"/>
      <c r="F27" s="138"/>
      <c r="G27" s="138"/>
      <c r="H27" s="139"/>
      <c r="I27" s="139"/>
      <c r="J27" s="140"/>
    </row>
    <row r="28" spans="5:10" ht="12" customHeight="1">
      <c r="E28" s="138"/>
      <c r="F28" s="138"/>
      <c r="G28" s="138"/>
      <c r="H28" s="139"/>
      <c r="I28" s="139"/>
      <c r="J28" s="140"/>
    </row>
    <row r="29" spans="5:10" ht="12" customHeight="1">
      <c r="E29" s="138"/>
      <c r="F29" s="138"/>
      <c r="G29" s="138"/>
      <c r="H29" s="139"/>
      <c r="I29" s="139"/>
      <c r="J29" s="140"/>
    </row>
    <row r="30" spans="5:10" ht="12" customHeight="1">
      <c r="E30" s="138"/>
      <c r="F30" s="138"/>
      <c r="G30" s="138"/>
      <c r="H30" s="139"/>
      <c r="I30" s="139"/>
      <c r="J30" s="140"/>
    </row>
    <row r="31" spans="5:10" ht="12" customHeight="1">
      <c r="E31" s="138"/>
      <c r="F31" s="138"/>
      <c r="G31" s="138"/>
      <c r="H31" s="139"/>
      <c r="I31" s="139"/>
      <c r="J31" s="140"/>
    </row>
    <row r="32" spans="5:10" ht="12" customHeight="1">
      <c r="E32" s="138"/>
      <c r="F32" s="138"/>
      <c r="G32" s="138"/>
      <c r="H32" s="139"/>
      <c r="I32" s="139"/>
      <c r="J32" s="140"/>
    </row>
    <row r="33" spans="5:10" ht="12" customHeight="1">
      <c r="E33" s="138"/>
      <c r="F33" s="138"/>
      <c r="G33" s="138"/>
      <c r="H33" s="139"/>
      <c r="I33" s="139"/>
      <c r="J33" s="140"/>
    </row>
    <row r="34" spans="5:10" ht="12" customHeight="1">
      <c r="E34" s="138"/>
      <c r="F34" s="138"/>
      <c r="G34" s="138"/>
      <c r="H34" s="139"/>
      <c r="I34" s="139"/>
      <c r="J34" s="140"/>
    </row>
    <row r="35" spans="5:10" ht="12" customHeight="1">
      <c r="E35" s="138"/>
      <c r="F35" s="138"/>
      <c r="G35" s="138"/>
      <c r="H35" s="139"/>
      <c r="I35" s="139"/>
      <c r="J35" s="140"/>
    </row>
    <row r="36" spans="5:10" ht="12" customHeight="1">
      <c r="E36" s="138"/>
      <c r="F36" s="138"/>
      <c r="G36" s="138"/>
      <c r="H36" s="139"/>
      <c r="I36" s="139"/>
      <c r="J36" s="140"/>
    </row>
    <row r="37" spans="5:10" ht="12" customHeight="1">
      <c r="E37" s="138"/>
      <c r="F37" s="138"/>
      <c r="G37" s="138"/>
      <c r="H37" s="139"/>
      <c r="I37" s="139"/>
      <c r="J37" s="140"/>
    </row>
    <row r="38" spans="5:10" ht="12" customHeight="1">
      <c r="E38" s="138"/>
      <c r="F38" s="138"/>
      <c r="G38" s="138"/>
      <c r="H38" s="139"/>
      <c r="I38" s="139"/>
      <c r="J38" s="140"/>
    </row>
    <row r="39" spans="5:10" ht="12" customHeight="1">
      <c r="E39" s="138"/>
      <c r="F39" s="138"/>
      <c r="G39" s="138"/>
      <c r="H39" s="139"/>
      <c r="I39" s="139"/>
      <c r="J39" s="140"/>
    </row>
    <row r="40" spans="5:10" ht="12" customHeight="1">
      <c r="E40" s="138"/>
      <c r="F40" s="138"/>
      <c r="G40" s="138"/>
      <c r="H40" s="139"/>
      <c r="I40" s="139"/>
      <c r="J40" s="140"/>
    </row>
    <row r="41" spans="5:10" ht="12" customHeight="1">
      <c r="E41" s="138"/>
      <c r="F41" s="138"/>
      <c r="G41" s="138"/>
      <c r="H41" s="139"/>
      <c r="I41" s="139"/>
      <c r="J41" s="140"/>
    </row>
    <row r="42" spans="5:10" ht="12" customHeight="1">
      <c r="E42" s="138"/>
      <c r="F42" s="138"/>
      <c r="G42" s="138"/>
      <c r="H42" s="139"/>
      <c r="I42" s="139"/>
      <c r="J42" s="140"/>
    </row>
    <row r="43" spans="5:10" ht="12" customHeight="1">
      <c r="E43" s="138"/>
      <c r="F43" s="138"/>
      <c r="G43" s="138"/>
      <c r="H43" s="139"/>
      <c r="I43" s="139"/>
      <c r="J43" s="140"/>
    </row>
    <row r="44" spans="5:10" ht="12" customHeight="1">
      <c r="E44" s="138"/>
      <c r="F44" s="138"/>
      <c r="G44" s="138"/>
      <c r="H44" s="139"/>
      <c r="I44" s="139"/>
      <c r="J44" s="140"/>
    </row>
    <row r="45" spans="5:10" ht="12" customHeight="1">
      <c r="E45" s="138"/>
      <c r="F45" s="138"/>
      <c r="G45" s="138"/>
      <c r="H45" s="139"/>
      <c r="I45" s="139"/>
      <c r="J45" s="140"/>
    </row>
    <row r="46" spans="5:10" ht="12" customHeight="1">
      <c r="E46" s="138"/>
      <c r="F46" s="138"/>
      <c r="G46" s="138"/>
      <c r="H46" s="139"/>
      <c r="I46" s="139"/>
      <c r="J46" s="140"/>
    </row>
    <row r="47" spans="5:10" ht="12" customHeight="1">
      <c r="E47" s="138"/>
      <c r="F47" s="138"/>
      <c r="G47" s="138"/>
      <c r="H47" s="139"/>
      <c r="I47" s="139"/>
      <c r="J47" s="140"/>
    </row>
    <row r="48" spans="5:10" ht="12" customHeight="1">
      <c r="E48" s="138"/>
      <c r="F48" s="138"/>
      <c r="G48" s="138"/>
      <c r="H48" s="139"/>
      <c r="I48" s="139"/>
      <c r="J48" s="140"/>
    </row>
    <row r="49" spans="5:10" ht="12" customHeight="1">
      <c r="E49" s="138"/>
      <c r="F49" s="138"/>
      <c r="G49" s="138"/>
      <c r="H49" s="139"/>
      <c r="I49" s="139"/>
      <c r="J49" s="140"/>
    </row>
    <row r="50" spans="5:10" ht="12" customHeight="1">
      <c r="E50" s="138"/>
      <c r="F50" s="138"/>
      <c r="G50" s="138"/>
      <c r="H50" s="139"/>
      <c r="I50" s="139"/>
      <c r="J50" s="140"/>
    </row>
    <row r="51" spans="5:10" ht="12" customHeight="1">
      <c r="E51" s="138"/>
      <c r="F51" s="138"/>
      <c r="G51" s="138"/>
      <c r="H51" s="139"/>
      <c r="I51" s="139"/>
      <c r="J51" s="140"/>
    </row>
    <row r="52" spans="5:10" ht="12" customHeight="1">
      <c r="E52" s="138"/>
      <c r="F52" s="138"/>
      <c r="G52" s="138"/>
      <c r="H52" s="139"/>
      <c r="I52" s="139"/>
      <c r="J52" s="140"/>
    </row>
    <row r="53" spans="5:10" ht="12" customHeight="1">
      <c r="E53" s="138"/>
      <c r="F53" s="138"/>
      <c r="G53" s="138"/>
      <c r="H53" s="139"/>
      <c r="I53" s="139"/>
      <c r="J53" s="140"/>
    </row>
    <row r="54" spans="5:10" ht="12" customHeight="1">
      <c r="E54" s="138"/>
      <c r="F54" s="138"/>
      <c r="G54" s="138"/>
      <c r="H54" s="139"/>
      <c r="I54" s="139"/>
      <c r="J54" s="140"/>
    </row>
    <row r="55" spans="5:10" ht="12" customHeight="1">
      <c r="E55" s="138"/>
      <c r="F55" s="138"/>
      <c r="G55" s="138"/>
      <c r="H55" s="139"/>
      <c r="I55" s="139"/>
      <c r="J55" s="140"/>
    </row>
    <row r="56" spans="5:10" ht="12" customHeight="1">
      <c r="E56" s="138"/>
      <c r="F56" s="138"/>
      <c r="G56" s="138"/>
      <c r="H56" s="139"/>
      <c r="I56" s="139"/>
      <c r="J56" s="140"/>
    </row>
    <row r="57" spans="5:10" ht="12" customHeight="1">
      <c r="E57" s="138"/>
      <c r="F57" s="138"/>
      <c r="G57" s="138"/>
      <c r="H57" s="139"/>
      <c r="I57" s="139"/>
      <c r="J57" s="140"/>
    </row>
    <row r="58" spans="5:10" ht="12" customHeight="1">
      <c r="E58" s="138"/>
      <c r="F58" s="138"/>
      <c r="G58" s="138"/>
      <c r="H58" s="139"/>
      <c r="I58" s="139"/>
      <c r="J58" s="140"/>
    </row>
    <row r="59" spans="5:10" ht="12" customHeight="1">
      <c r="E59" s="138"/>
      <c r="F59" s="138"/>
      <c r="G59" s="138"/>
      <c r="H59" s="139"/>
      <c r="I59" s="139"/>
      <c r="J59" s="140"/>
    </row>
    <row r="60" spans="5:10" ht="12" customHeight="1">
      <c r="E60" s="138"/>
      <c r="F60" s="138"/>
      <c r="G60" s="138"/>
      <c r="H60" s="139"/>
      <c r="I60" s="139"/>
      <c r="J60" s="140"/>
    </row>
    <row r="61" spans="5:10" ht="12" customHeight="1">
      <c r="E61" s="138"/>
      <c r="F61" s="138"/>
      <c r="G61" s="138"/>
      <c r="H61" s="139"/>
      <c r="I61" s="139"/>
      <c r="J61" s="140"/>
    </row>
    <row r="62" spans="5:10" ht="12" customHeight="1">
      <c r="E62" s="138"/>
      <c r="F62" s="138"/>
      <c r="G62" s="138"/>
      <c r="H62" s="139"/>
      <c r="I62" s="139"/>
      <c r="J62" s="140"/>
    </row>
    <row r="63" spans="5:10" ht="12" customHeight="1">
      <c r="E63" s="138"/>
      <c r="F63" s="138"/>
      <c r="G63" s="138"/>
      <c r="H63" s="139"/>
      <c r="I63" s="139"/>
      <c r="J63" s="140"/>
    </row>
    <row r="64" spans="5:10" ht="12" customHeight="1">
      <c r="E64" s="138"/>
      <c r="F64" s="138"/>
      <c r="G64" s="138"/>
      <c r="H64" s="139"/>
      <c r="I64" s="139"/>
      <c r="J64" s="140"/>
    </row>
    <row r="65" spans="5:10" ht="12" customHeight="1">
      <c r="E65" s="138"/>
      <c r="F65" s="138"/>
      <c r="G65" s="138"/>
      <c r="H65" s="139"/>
      <c r="I65" s="139"/>
      <c r="J65" s="140"/>
    </row>
    <row r="66" spans="5:10" ht="12" customHeight="1">
      <c r="E66" s="138"/>
      <c r="F66" s="138"/>
      <c r="G66" s="138"/>
      <c r="H66" s="139"/>
      <c r="I66" s="139"/>
      <c r="J66" s="140"/>
    </row>
    <row r="67" spans="5:10" ht="12" customHeight="1">
      <c r="E67" s="138"/>
      <c r="F67" s="138"/>
      <c r="G67" s="138"/>
      <c r="H67" s="139"/>
      <c r="I67" s="139"/>
      <c r="J67" s="140"/>
    </row>
    <row r="68" spans="5:10" ht="12" customHeight="1">
      <c r="E68" s="138"/>
      <c r="F68" s="138"/>
      <c r="G68" s="138"/>
      <c r="H68" s="139"/>
      <c r="I68" s="139"/>
      <c r="J68" s="140"/>
    </row>
    <row r="69" spans="5:10" ht="12" customHeight="1">
      <c r="E69" s="138"/>
      <c r="F69" s="138"/>
      <c r="G69" s="138"/>
      <c r="H69" s="139"/>
      <c r="I69" s="139"/>
      <c r="J69" s="140"/>
    </row>
    <row r="70" spans="5:10" ht="12" customHeight="1">
      <c r="E70" s="138"/>
      <c r="F70" s="138"/>
      <c r="G70" s="138"/>
      <c r="H70" s="139"/>
      <c r="I70" s="139"/>
      <c r="J70" s="140"/>
    </row>
    <row r="71" spans="5:10" ht="12" customHeight="1">
      <c r="E71" s="138"/>
      <c r="F71" s="138"/>
      <c r="G71" s="138"/>
      <c r="H71" s="139"/>
      <c r="I71" s="139"/>
      <c r="J71" s="140"/>
    </row>
    <row r="72" spans="5:10" ht="12" customHeight="1">
      <c r="E72" s="138"/>
      <c r="F72" s="138"/>
      <c r="G72" s="138"/>
      <c r="H72" s="139"/>
      <c r="I72" s="139"/>
      <c r="J72" s="140"/>
    </row>
    <row r="73" spans="5:10" ht="12" customHeight="1">
      <c r="E73" s="138"/>
      <c r="F73" s="138"/>
      <c r="G73" s="138"/>
      <c r="H73" s="139"/>
      <c r="I73" s="139"/>
      <c r="J73" s="140"/>
    </row>
    <row r="74" spans="5:10" ht="12" customHeight="1">
      <c r="E74" s="138"/>
      <c r="F74" s="138"/>
      <c r="G74" s="138"/>
      <c r="H74" s="139"/>
      <c r="I74" s="139"/>
      <c r="J74" s="140"/>
    </row>
    <row r="75" spans="5:10" ht="12" customHeight="1">
      <c r="E75" s="138"/>
      <c r="F75" s="138"/>
      <c r="G75" s="138"/>
      <c r="H75" s="139"/>
      <c r="I75" s="139"/>
      <c r="J75" s="140"/>
    </row>
    <row r="76" spans="5:10" ht="12" customHeight="1">
      <c r="E76" s="138"/>
      <c r="F76" s="138"/>
      <c r="G76" s="138"/>
      <c r="H76" s="139"/>
      <c r="I76" s="139"/>
      <c r="J76" s="140"/>
    </row>
    <row r="77" spans="5:10" ht="12" customHeight="1">
      <c r="E77" s="138"/>
      <c r="F77" s="138"/>
      <c r="G77" s="138"/>
      <c r="H77" s="139"/>
      <c r="I77" s="139"/>
      <c r="J77" s="140"/>
    </row>
    <row r="78" spans="5:10" ht="12" customHeight="1">
      <c r="E78" s="138"/>
      <c r="F78" s="138"/>
      <c r="G78" s="138"/>
      <c r="H78" s="139"/>
      <c r="I78" s="139"/>
      <c r="J78" s="140"/>
    </row>
    <row r="79" spans="5:10" ht="12" customHeight="1">
      <c r="E79" s="138"/>
      <c r="F79" s="138"/>
      <c r="G79" s="138"/>
      <c r="H79" s="139"/>
      <c r="I79" s="139"/>
      <c r="J79" s="140"/>
    </row>
    <row r="80" spans="5:10" ht="12" customHeight="1">
      <c r="E80" s="138"/>
      <c r="F80" s="138"/>
      <c r="G80" s="138"/>
      <c r="H80" s="139"/>
      <c r="I80" s="139"/>
      <c r="J80" s="140"/>
    </row>
    <row r="81" spans="5:10" ht="12" customHeight="1">
      <c r="E81" s="138"/>
      <c r="F81" s="138"/>
      <c r="G81" s="138"/>
      <c r="H81" s="139"/>
      <c r="I81" s="139"/>
      <c r="J81" s="140"/>
    </row>
    <row r="82" spans="5:10" ht="12" customHeight="1">
      <c r="E82" s="138"/>
      <c r="F82" s="138"/>
      <c r="G82" s="138"/>
      <c r="H82" s="139"/>
      <c r="I82" s="139"/>
      <c r="J82" s="140"/>
    </row>
    <row r="83" spans="5:10" ht="12" customHeight="1">
      <c r="E83" s="138"/>
      <c r="F83" s="138"/>
      <c r="G83" s="138"/>
      <c r="H83" s="139"/>
      <c r="I83" s="139"/>
      <c r="J83" s="140"/>
    </row>
    <row r="84" spans="5:10" ht="12" customHeight="1">
      <c r="E84" s="138"/>
      <c r="F84" s="138"/>
      <c r="G84" s="138"/>
      <c r="H84" s="139"/>
      <c r="I84" s="139"/>
      <c r="J84" s="140"/>
    </row>
    <row r="85" spans="5:10" ht="12" customHeight="1">
      <c r="E85" s="138"/>
      <c r="F85" s="138"/>
      <c r="G85" s="138"/>
      <c r="H85" s="139"/>
      <c r="I85" s="139"/>
      <c r="J85" s="140"/>
    </row>
    <row r="86" spans="5:10" ht="12" customHeight="1">
      <c r="E86" s="138"/>
      <c r="F86" s="138"/>
      <c r="G86" s="138"/>
      <c r="H86" s="139"/>
      <c r="I86" s="139"/>
      <c r="J86" s="140"/>
    </row>
    <row r="87" spans="5:10" ht="12" customHeight="1">
      <c r="E87" s="138"/>
      <c r="F87" s="138"/>
      <c r="G87" s="138"/>
      <c r="H87" s="139"/>
      <c r="I87" s="139"/>
      <c r="J87" s="140"/>
    </row>
    <row r="88" spans="5:10" ht="12" customHeight="1">
      <c r="E88" s="138"/>
      <c r="F88" s="138"/>
      <c r="G88" s="138"/>
      <c r="H88" s="139"/>
      <c r="I88" s="139"/>
      <c r="J88" s="140"/>
    </row>
    <row r="89" spans="5:10" ht="12" customHeight="1">
      <c r="E89" s="138"/>
      <c r="F89" s="138"/>
      <c r="G89" s="138"/>
      <c r="H89" s="139"/>
      <c r="I89" s="139"/>
      <c r="J89" s="140"/>
    </row>
    <row r="90" spans="5:10" ht="12" customHeight="1">
      <c r="E90" s="138"/>
      <c r="F90" s="138"/>
      <c r="G90" s="138"/>
      <c r="H90" s="139"/>
      <c r="I90" s="139"/>
      <c r="J90" s="140"/>
    </row>
    <row r="91" spans="5:10" ht="12" customHeight="1">
      <c r="E91" s="138"/>
      <c r="F91" s="138"/>
      <c r="G91" s="138"/>
      <c r="H91" s="139"/>
      <c r="I91" s="139"/>
      <c r="J91" s="140"/>
    </row>
    <row r="92" spans="5:10" ht="12" customHeight="1">
      <c r="E92" s="138"/>
      <c r="F92" s="138"/>
      <c r="G92" s="138"/>
      <c r="H92" s="139"/>
      <c r="I92" s="139"/>
      <c r="J92" s="140"/>
    </row>
    <row r="93" spans="5:10" ht="12" customHeight="1">
      <c r="E93" s="138"/>
      <c r="F93" s="138"/>
      <c r="G93" s="138"/>
      <c r="H93" s="139"/>
      <c r="I93" s="139"/>
      <c r="J93" s="140"/>
    </row>
    <row r="94" spans="5:10" ht="12" customHeight="1">
      <c r="E94" s="138"/>
      <c r="F94" s="138"/>
      <c r="G94" s="138"/>
      <c r="H94" s="139"/>
      <c r="I94" s="139"/>
      <c r="J94" s="140"/>
    </row>
    <row r="95" spans="5:10" ht="12" customHeight="1">
      <c r="E95" s="138"/>
      <c r="F95" s="138"/>
      <c r="G95" s="138"/>
      <c r="H95" s="139"/>
      <c r="I95" s="139"/>
      <c r="J95" s="140"/>
    </row>
    <row r="96" spans="5:10" ht="12" customHeight="1">
      <c r="E96" s="138"/>
      <c r="F96" s="138"/>
      <c r="G96" s="138"/>
      <c r="H96" s="139"/>
      <c r="I96" s="139"/>
      <c r="J96" s="140"/>
    </row>
    <row r="97" spans="5:10" ht="12" customHeight="1">
      <c r="E97" s="138"/>
      <c r="F97" s="138"/>
      <c r="G97" s="138"/>
      <c r="H97" s="139"/>
      <c r="I97" s="139"/>
      <c r="J97" s="140"/>
    </row>
    <row r="98" spans="5:10" ht="12" customHeight="1">
      <c r="E98" s="138"/>
      <c r="F98" s="138"/>
      <c r="G98" s="138"/>
      <c r="H98" s="139"/>
      <c r="I98" s="139"/>
      <c r="J98" s="140"/>
    </row>
    <row r="99" spans="5:10" ht="12" customHeight="1">
      <c r="E99" s="138"/>
      <c r="F99" s="138"/>
      <c r="G99" s="138"/>
      <c r="H99" s="139"/>
      <c r="I99" s="139"/>
      <c r="J99" s="140"/>
    </row>
    <row r="100" spans="5:10" ht="12" customHeight="1">
      <c r="E100" s="138"/>
      <c r="F100" s="138"/>
      <c r="G100" s="138"/>
      <c r="H100" s="139"/>
      <c r="I100" s="139"/>
      <c r="J100" s="140"/>
    </row>
    <row r="101" spans="5:10" ht="12" customHeight="1">
      <c r="E101" s="138"/>
      <c r="F101" s="138"/>
      <c r="G101" s="138"/>
      <c r="H101" s="139"/>
      <c r="I101" s="139"/>
      <c r="J101" s="140"/>
    </row>
    <row r="102" spans="5:10" ht="12" customHeight="1">
      <c r="E102" s="138"/>
      <c r="F102" s="138"/>
      <c r="G102" s="138"/>
      <c r="H102" s="139"/>
      <c r="I102" s="139"/>
      <c r="J102" s="140"/>
    </row>
    <row r="103" spans="5:10" ht="12" customHeight="1">
      <c r="E103" s="138"/>
      <c r="F103" s="138"/>
      <c r="G103" s="138"/>
      <c r="H103" s="139"/>
      <c r="I103" s="139"/>
      <c r="J103" s="140"/>
    </row>
    <row r="104" spans="5:10" ht="12" customHeight="1">
      <c r="E104" s="138"/>
      <c r="F104" s="138"/>
      <c r="G104" s="138"/>
      <c r="H104" s="139"/>
      <c r="I104" s="139"/>
      <c r="J104" s="140"/>
    </row>
    <row r="105" spans="5:10" ht="12" customHeight="1">
      <c r="E105" s="138"/>
      <c r="F105" s="138"/>
      <c r="G105" s="138"/>
      <c r="H105" s="139"/>
      <c r="I105" s="139"/>
      <c r="J105" s="140"/>
    </row>
    <row r="106" spans="5:10" ht="12" customHeight="1">
      <c r="E106" s="138"/>
      <c r="F106" s="138"/>
      <c r="G106" s="138"/>
      <c r="H106" s="139"/>
      <c r="I106" s="139"/>
      <c r="J106" s="140"/>
    </row>
    <row r="107" spans="5:10" ht="12" customHeight="1">
      <c r="E107" s="138"/>
      <c r="F107" s="138"/>
      <c r="G107" s="138"/>
      <c r="H107" s="139"/>
      <c r="I107" s="139"/>
      <c r="J107" s="140"/>
    </row>
    <row r="108" spans="5:10" ht="12" customHeight="1">
      <c r="E108" s="138"/>
      <c r="F108" s="138"/>
      <c r="G108" s="138"/>
      <c r="H108" s="139"/>
      <c r="I108" s="139"/>
      <c r="J108" s="140"/>
    </row>
    <row r="109" spans="5:10" ht="12" customHeight="1">
      <c r="E109" s="138"/>
      <c r="F109" s="138"/>
      <c r="G109" s="138"/>
      <c r="H109" s="139"/>
      <c r="I109" s="139"/>
      <c r="J109" s="140"/>
    </row>
    <row r="110" spans="5:10" ht="12" customHeight="1">
      <c r="E110" s="138"/>
      <c r="F110" s="138"/>
      <c r="G110" s="138"/>
      <c r="H110" s="139"/>
      <c r="I110" s="139"/>
      <c r="J110" s="140"/>
    </row>
    <row r="111" spans="5:10" ht="12" customHeight="1">
      <c r="E111" s="138"/>
      <c r="F111" s="138"/>
      <c r="G111" s="138"/>
      <c r="H111" s="139"/>
      <c r="I111" s="139"/>
      <c r="J111" s="140"/>
    </row>
    <row r="112" spans="5:10" ht="12" customHeight="1">
      <c r="E112" s="138"/>
      <c r="F112" s="138"/>
      <c r="G112" s="138"/>
      <c r="H112" s="139"/>
      <c r="I112" s="139"/>
      <c r="J112" s="140"/>
    </row>
    <row r="113" spans="5:10" ht="12" customHeight="1">
      <c r="E113" s="138"/>
      <c r="F113" s="138"/>
      <c r="G113" s="138"/>
      <c r="H113" s="139"/>
      <c r="I113" s="139"/>
      <c r="J113" s="140"/>
    </row>
    <row r="114" spans="5:10" ht="12" customHeight="1">
      <c r="E114" s="138"/>
      <c r="F114" s="138"/>
      <c r="G114" s="138"/>
      <c r="H114" s="139"/>
      <c r="I114" s="139"/>
      <c r="J114" s="140"/>
    </row>
    <row r="115" spans="5:10" ht="12" customHeight="1">
      <c r="E115" s="138"/>
      <c r="F115" s="138"/>
      <c r="G115" s="138"/>
      <c r="H115" s="139"/>
      <c r="I115" s="139"/>
      <c r="J115" s="140"/>
    </row>
    <row r="116" spans="5:10" ht="12" customHeight="1">
      <c r="E116" s="138"/>
      <c r="F116" s="138"/>
      <c r="G116" s="138"/>
      <c r="H116" s="139"/>
      <c r="I116" s="139"/>
      <c r="J116" s="140"/>
    </row>
    <row r="117" spans="5:10" ht="12" customHeight="1">
      <c r="E117" s="138"/>
      <c r="F117" s="138"/>
      <c r="G117" s="138"/>
      <c r="H117" s="139"/>
      <c r="I117" s="139"/>
      <c r="J117" s="140"/>
    </row>
    <row r="118" spans="5:10" ht="12" customHeight="1">
      <c r="E118" s="138"/>
      <c r="F118" s="138"/>
      <c r="G118" s="138"/>
      <c r="H118" s="139"/>
      <c r="I118" s="139"/>
      <c r="J118" s="140"/>
    </row>
    <row r="119" spans="5:10" ht="12" customHeight="1">
      <c r="E119" s="138"/>
      <c r="F119" s="138"/>
      <c r="G119" s="138"/>
      <c r="H119" s="139"/>
      <c r="I119" s="139"/>
      <c r="J119" s="140"/>
    </row>
    <row r="120" spans="5:10" ht="12" customHeight="1">
      <c r="E120" s="138"/>
      <c r="F120" s="138"/>
      <c r="G120" s="138"/>
      <c r="H120" s="139"/>
      <c r="I120" s="139"/>
      <c r="J120" s="140"/>
    </row>
    <row r="121" spans="5:10" ht="12" customHeight="1">
      <c r="E121" s="138"/>
      <c r="F121" s="138"/>
      <c r="G121" s="138"/>
      <c r="H121" s="139"/>
      <c r="I121" s="139"/>
      <c r="J121" s="140"/>
    </row>
  </sheetData>
  <mergeCells count="3">
    <mergeCell ref="A6:I6"/>
    <mergeCell ref="A8:I8"/>
    <mergeCell ref="A10:I10"/>
  </mergeCells>
  <phoneticPr fontId="2" type="noConversion"/>
  <pageMargins left="0.74803149606299213" right="0.74803149606299213" top="0.95" bottom="0.78740157480314965" header="0.51181102362204722" footer="0.51181102362204722"/>
  <pageSetup paperSize="9" fitToHeight="3" orientation="landscape" r:id="rId1"/>
  <headerFooter alignWithMargins="0"/>
  <rowBreaks count="1" manualBreakCount="1">
    <brk id="6" max="10" man="1"/>
  </rowBreaks>
  <legacyDrawingHF r:id="rId2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indexed="41"/>
    <pageSetUpPr fitToPage="1"/>
  </sheetPr>
  <dimension ref="A1:M125"/>
  <sheetViews>
    <sheetView view="pageBreakPreview" zoomScaleNormal="115" workbookViewId="0">
      <selection activeCell="A2" sqref="A2"/>
    </sheetView>
  </sheetViews>
  <sheetFormatPr defaultRowHeight="12" customHeight="1"/>
  <cols>
    <col min="1" max="1" width="6.109375" style="137" customWidth="1"/>
    <col min="2" max="2" width="3.88671875" style="137" customWidth="1"/>
    <col min="3" max="3" width="5.5546875" style="137" customWidth="1"/>
    <col min="4" max="4" width="44.44140625" style="133" customWidth="1"/>
    <col min="5" max="7" width="7.77734375" style="133" customWidth="1"/>
    <col min="8" max="9" width="7.77734375" style="134" customWidth="1"/>
    <col min="10" max="10" width="7.77734375" style="141" customWidth="1"/>
    <col min="11" max="11" width="5" style="128" customWidth="1"/>
    <col min="12" max="16384" width="8.88671875" style="128"/>
  </cols>
  <sheetData>
    <row r="1" spans="1:13" s="125" customFormat="1" ht="30" customHeight="1" thickBot="1">
      <c r="A1" s="330" t="s">
        <v>828</v>
      </c>
      <c r="B1" s="119"/>
      <c r="C1" s="119"/>
      <c r="D1" s="143"/>
      <c r="E1" s="119"/>
      <c r="F1" s="119"/>
      <c r="G1" s="119"/>
      <c r="H1" s="120"/>
      <c r="I1" s="120"/>
      <c r="J1" s="120"/>
      <c r="K1" s="123"/>
      <c r="L1" s="124"/>
      <c r="M1" s="124"/>
    </row>
    <row r="2" spans="1:13" s="182" customFormat="1" ht="39.950000000000003" customHeight="1">
      <c r="A2" s="608" t="s">
        <v>738</v>
      </c>
      <c r="B2" s="438" t="s">
        <v>693</v>
      </c>
      <c r="C2" s="438" t="s">
        <v>739</v>
      </c>
      <c r="D2" s="438" t="s">
        <v>740</v>
      </c>
      <c r="E2" s="437" t="s">
        <v>741</v>
      </c>
      <c r="F2" s="438" t="s">
        <v>742</v>
      </c>
      <c r="G2" s="439" t="s">
        <v>743</v>
      </c>
      <c r="H2" s="439" t="s">
        <v>744</v>
      </c>
      <c r="I2" s="439" t="s">
        <v>745</v>
      </c>
      <c r="J2" s="440" t="s">
        <v>746</v>
      </c>
      <c r="K2" s="609" t="s">
        <v>697</v>
      </c>
    </row>
    <row r="3" spans="1:13" s="266" customFormat="1" ht="30" customHeight="1">
      <c r="A3" s="600" t="s">
        <v>747</v>
      </c>
      <c r="B3" s="258">
        <v>1</v>
      </c>
      <c r="C3" s="258">
        <v>453</v>
      </c>
      <c r="D3" s="537" t="s">
        <v>780</v>
      </c>
      <c r="E3" s="259">
        <v>1</v>
      </c>
      <c r="F3" s="260">
        <v>488</v>
      </c>
      <c r="G3" s="261">
        <v>3</v>
      </c>
      <c r="H3" s="262">
        <f>IF(F3&gt;=2000,1,IF(F3&gt;=1800,0.9,IF(F3&gt;=1600,0.8,IF(F3&gt;=1400,0.7,IF(F3&gt;=1200,0.6,0)))))</f>
        <v>0</v>
      </c>
      <c r="I3" s="263">
        <f>IF(G3&gt;=5,1,IF(G3&gt;=4,0.9,IF(G3&gt;=3,0.8,IF(G3&gt;=2,0.7,IF(G3&gt;=1,0.6,0)))))</f>
        <v>0.8</v>
      </c>
      <c r="J3" s="264">
        <f>배점기준!$E$93*MAX(H3,I3)*E3</f>
        <v>0.8</v>
      </c>
      <c r="K3" s="265"/>
    </row>
    <row r="4" spans="1:13" s="266" customFormat="1" ht="30" customHeight="1">
      <c r="A4" s="600" t="s">
        <v>271</v>
      </c>
      <c r="B4" s="258">
        <v>2</v>
      </c>
      <c r="C4" s="258">
        <v>461</v>
      </c>
      <c r="D4" s="537" t="s">
        <v>781</v>
      </c>
      <c r="E4" s="259">
        <v>1</v>
      </c>
      <c r="F4" s="260">
        <v>273</v>
      </c>
      <c r="G4" s="261">
        <v>2</v>
      </c>
      <c r="H4" s="262">
        <f t="shared" ref="H4:H9" si="0">IF(F4&gt;=2000,1,IF(F4&gt;=1800,0.9,IF(F4&gt;=1600,0.8,IF(F4&gt;=1400,0.7,IF(F4&gt;=1200,0.6,0)))))</f>
        <v>0</v>
      </c>
      <c r="I4" s="263">
        <f t="shared" ref="I4:I9" si="1">IF(G4&gt;=5,1,IF(G4&gt;=4,0.9,IF(G4&gt;=3,0.8,IF(G4&gt;=2,0.7,IF(G4&gt;=1,0.6,0)))))</f>
        <v>0.7</v>
      </c>
      <c r="J4" s="264">
        <f>배점기준!$E$93*MAX(H4,I4)*E4</f>
        <v>0.7</v>
      </c>
      <c r="K4" s="265"/>
    </row>
    <row r="5" spans="1:13" s="197" customFormat="1" ht="30" customHeight="1">
      <c r="A5" s="600" t="s">
        <v>271</v>
      </c>
      <c r="B5" s="258">
        <v>3</v>
      </c>
      <c r="C5" s="258">
        <v>517</v>
      </c>
      <c r="D5" s="639" t="s">
        <v>482</v>
      </c>
      <c r="E5" s="259">
        <v>1</v>
      </c>
      <c r="F5" s="260">
        <v>2030</v>
      </c>
      <c r="G5" s="261">
        <v>5</v>
      </c>
      <c r="H5" s="262">
        <f t="shared" si="0"/>
        <v>1</v>
      </c>
      <c r="I5" s="263">
        <f t="shared" si="1"/>
        <v>1</v>
      </c>
      <c r="J5" s="264">
        <f>배점기준!$E$93*MAX(H5,I5)*E5</f>
        <v>1</v>
      </c>
      <c r="K5" s="265"/>
    </row>
    <row r="6" spans="1:13" s="197" customFormat="1" ht="30" customHeight="1">
      <c r="A6" s="600" t="s">
        <v>271</v>
      </c>
      <c r="B6" s="258">
        <v>4</v>
      </c>
      <c r="C6" s="258">
        <v>521</v>
      </c>
      <c r="D6" s="537" t="s">
        <v>782</v>
      </c>
      <c r="E6" s="259">
        <v>1</v>
      </c>
      <c r="F6" s="260">
        <v>24</v>
      </c>
      <c r="G6" s="261">
        <v>1</v>
      </c>
      <c r="H6" s="262">
        <f t="shared" si="0"/>
        <v>0</v>
      </c>
      <c r="I6" s="263">
        <f t="shared" si="1"/>
        <v>0.6</v>
      </c>
      <c r="J6" s="264">
        <f>배점기준!$E$93*MAX(H6,I6)*E6</f>
        <v>0.6</v>
      </c>
      <c r="K6" s="265"/>
    </row>
    <row r="7" spans="1:13" s="197" customFormat="1" ht="30" customHeight="1">
      <c r="A7" s="600" t="s">
        <v>271</v>
      </c>
      <c r="B7" s="258">
        <v>5</v>
      </c>
      <c r="C7" s="258">
        <v>553</v>
      </c>
      <c r="D7" s="537" t="s">
        <v>783</v>
      </c>
      <c r="E7" s="259">
        <v>1</v>
      </c>
      <c r="F7" s="260">
        <v>615</v>
      </c>
      <c r="G7" s="261">
        <v>2</v>
      </c>
      <c r="H7" s="262">
        <f t="shared" si="0"/>
        <v>0</v>
      </c>
      <c r="I7" s="263">
        <f t="shared" si="1"/>
        <v>0.7</v>
      </c>
      <c r="J7" s="264">
        <f>배점기준!$E$93*MAX(H7,I7)*E7</f>
        <v>0.7</v>
      </c>
      <c r="K7" s="265"/>
    </row>
    <row r="8" spans="1:13" s="266" customFormat="1" ht="30" customHeight="1">
      <c r="A8" s="600" t="s">
        <v>271</v>
      </c>
      <c r="B8" s="258">
        <v>6</v>
      </c>
      <c r="C8" s="258">
        <v>556</v>
      </c>
      <c r="D8" s="537" t="s">
        <v>480</v>
      </c>
      <c r="E8" s="259">
        <v>1</v>
      </c>
      <c r="F8" s="260">
        <v>593</v>
      </c>
      <c r="G8" s="261">
        <v>2</v>
      </c>
      <c r="H8" s="262">
        <f t="shared" si="0"/>
        <v>0</v>
      </c>
      <c r="I8" s="263">
        <f t="shared" si="1"/>
        <v>0.7</v>
      </c>
      <c r="J8" s="264">
        <f>배점기준!$E$93*MAX(H8,I8)*E8</f>
        <v>0.7</v>
      </c>
      <c r="K8" s="265"/>
    </row>
    <row r="9" spans="1:13" s="197" customFormat="1" ht="30" customHeight="1">
      <c r="A9" s="600" t="s">
        <v>271</v>
      </c>
      <c r="B9" s="258">
        <v>7</v>
      </c>
      <c r="C9" s="258">
        <v>582</v>
      </c>
      <c r="D9" s="537" t="s">
        <v>481</v>
      </c>
      <c r="E9" s="259">
        <v>1</v>
      </c>
      <c r="F9" s="260">
        <v>2851</v>
      </c>
      <c r="G9" s="261">
        <v>3</v>
      </c>
      <c r="H9" s="262">
        <f t="shared" si="0"/>
        <v>1</v>
      </c>
      <c r="I9" s="263">
        <f t="shared" si="1"/>
        <v>0.8</v>
      </c>
      <c r="J9" s="264">
        <f>배점기준!$E$93*MAX(H9,I9)*E9</f>
        <v>1</v>
      </c>
      <c r="K9" s="265"/>
    </row>
    <row r="10" spans="1:13" s="266" customFormat="1" ht="24.95" customHeight="1">
      <c r="A10" s="1113" t="s">
        <v>748</v>
      </c>
      <c r="B10" s="1114"/>
      <c r="C10" s="1114"/>
      <c r="D10" s="1114"/>
      <c r="E10" s="1114"/>
      <c r="F10" s="1114"/>
      <c r="G10" s="1114"/>
      <c r="H10" s="1114"/>
      <c r="I10" s="1115"/>
      <c r="J10" s="519">
        <f>SUM(J3:J9)</f>
        <v>5.5</v>
      </c>
      <c r="K10" s="265"/>
    </row>
    <row r="11" spans="1:13" s="266" customFormat="1" ht="24.95" customHeight="1">
      <c r="A11" s="600" t="s">
        <v>749</v>
      </c>
      <c r="B11" s="258"/>
      <c r="C11" s="258"/>
      <c r="D11" s="258"/>
      <c r="E11" s="259"/>
      <c r="F11" s="260"/>
      <c r="G11" s="260"/>
      <c r="H11" s="262"/>
      <c r="I11" s="263"/>
      <c r="J11" s="264"/>
      <c r="K11" s="265"/>
    </row>
    <row r="12" spans="1:13" s="266" customFormat="1" ht="24.95" customHeight="1">
      <c r="A12" s="1111" t="s">
        <v>750</v>
      </c>
      <c r="B12" s="1112"/>
      <c r="C12" s="1112"/>
      <c r="D12" s="1112"/>
      <c r="E12" s="1112"/>
      <c r="F12" s="1112"/>
      <c r="G12" s="1112"/>
      <c r="H12" s="1112"/>
      <c r="I12" s="1112"/>
      <c r="J12" s="519">
        <f>SUM(J11:J11)</f>
        <v>0</v>
      </c>
      <c r="K12" s="265"/>
    </row>
    <row r="13" spans="1:13" s="197" customFormat="1" ht="24.95" customHeight="1">
      <c r="A13" s="601" t="s">
        <v>230</v>
      </c>
      <c r="B13" s="258"/>
      <c r="C13" s="258"/>
      <c r="D13" s="258"/>
      <c r="E13" s="259"/>
      <c r="F13" s="260"/>
      <c r="G13" s="260"/>
      <c r="H13" s="262"/>
      <c r="I13" s="263"/>
      <c r="J13" s="264"/>
      <c r="K13" s="265"/>
    </row>
    <row r="14" spans="1:13" s="266" customFormat="1" ht="24.95" customHeight="1" thickBot="1">
      <c r="A14" s="1109" t="s">
        <v>274</v>
      </c>
      <c r="B14" s="1110"/>
      <c r="C14" s="1110"/>
      <c r="D14" s="1110"/>
      <c r="E14" s="1110"/>
      <c r="F14" s="1110"/>
      <c r="G14" s="1110"/>
      <c r="H14" s="1110"/>
      <c r="I14" s="1110"/>
      <c r="J14" s="520">
        <f>SUM(J13:J13)</f>
        <v>0</v>
      </c>
      <c r="K14" s="267"/>
    </row>
    <row r="15" spans="1:13" s="197" customFormat="1" ht="15" customHeight="1">
      <c r="A15" s="268"/>
      <c r="B15" s="268"/>
      <c r="C15" s="286"/>
      <c r="D15" s="269"/>
      <c r="E15" s="269"/>
      <c r="F15" s="269"/>
      <c r="G15" s="269"/>
      <c r="H15" s="270"/>
      <c r="I15" s="270"/>
      <c r="J15" s="270"/>
    </row>
    <row r="16" spans="1:13" s="197" customFormat="1" ht="15" customHeight="1">
      <c r="A16" s="271"/>
      <c r="B16" s="271"/>
      <c r="C16" s="284"/>
      <c r="D16" s="272"/>
      <c r="E16" s="272"/>
      <c r="F16" s="272"/>
      <c r="G16" s="272"/>
      <c r="H16" s="273"/>
      <c r="I16" s="273"/>
      <c r="J16" s="273"/>
    </row>
    <row r="17" spans="1:10" ht="15" customHeight="1">
      <c r="A17" s="132"/>
      <c r="B17" s="132"/>
      <c r="C17" s="285"/>
      <c r="J17" s="134"/>
    </row>
    <row r="18" spans="1:10" ht="15" customHeight="1">
      <c r="A18" s="132"/>
      <c r="B18" s="132"/>
      <c r="C18" s="285"/>
      <c r="J18" s="134"/>
    </row>
    <row r="19" spans="1:10" ht="15" customHeight="1">
      <c r="A19" s="132"/>
      <c r="B19" s="132"/>
      <c r="C19" s="285"/>
      <c r="J19" s="134"/>
    </row>
    <row r="20" spans="1:10" ht="15" customHeight="1">
      <c r="A20" s="132"/>
      <c r="B20" s="132"/>
      <c r="C20" s="285"/>
      <c r="J20" s="134"/>
    </row>
    <row r="21" spans="1:10" ht="15" customHeight="1">
      <c r="E21" s="138"/>
      <c r="F21" s="138"/>
      <c r="G21" s="138"/>
      <c r="H21" s="139"/>
      <c r="I21" s="139"/>
      <c r="J21" s="140"/>
    </row>
    <row r="22" spans="1:10" ht="15" customHeight="1">
      <c r="E22" s="138"/>
      <c r="F22" s="138"/>
      <c r="G22" s="138"/>
      <c r="H22" s="139"/>
      <c r="I22" s="139"/>
      <c r="J22" s="140"/>
    </row>
    <row r="23" spans="1:10" ht="15" customHeight="1">
      <c r="E23" s="138"/>
      <c r="F23" s="138"/>
      <c r="G23" s="138"/>
      <c r="H23" s="139"/>
      <c r="I23" s="139"/>
      <c r="J23" s="140"/>
    </row>
    <row r="24" spans="1:10" ht="15" customHeight="1">
      <c r="E24" s="138"/>
      <c r="F24" s="138"/>
      <c r="G24" s="138"/>
      <c r="H24" s="139"/>
      <c r="I24" s="139"/>
      <c r="J24" s="140"/>
    </row>
    <row r="25" spans="1:10" ht="15" customHeight="1">
      <c r="E25" s="138"/>
      <c r="F25" s="138"/>
      <c r="G25" s="138"/>
      <c r="H25" s="139"/>
      <c r="I25" s="139"/>
      <c r="J25" s="140"/>
    </row>
    <row r="26" spans="1:10" ht="12" customHeight="1">
      <c r="E26" s="138"/>
      <c r="F26" s="138"/>
      <c r="G26" s="138"/>
      <c r="H26" s="139"/>
      <c r="I26" s="139"/>
      <c r="J26" s="140"/>
    </row>
    <row r="27" spans="1:10" ht="12" customHeight="1">
      <c r="E27" s="138"/>
      <c r="F27" s="138"/>
      <c r="G27" s="138"/>
      <c r="H27" s="139"/>
      <c r="I27" s="139"/>
      <c r="J27" s="140"/>
    </row>
    <row r="28" spans="1:10" ht="12" customHeight="1">
      <c r="E28" s="138"/>
      <c r="F28" s="138"/>
      <c r="G28" s="138"/>
      <c r="H28" s="139"/>
      <c r="I28" s="139"/>
      <c r="J28" s="140"/>
    </row>
    <row r="29" spans="1:10" ht="12" customHeight="1">
      <c r="E29" s="138"/>
      <c r="F29" s="138"/>
      <c r="G29" s="138"/>
      <c r="H29" s="139"/>
      <c r="I29" s="139"/>
      <c r="J29" s="140"/>
    </row>
    <row r="30" spans="1:10" ht="12" customHeight="1">
      <c r="E30" s="138"/>
      <c r="F30" s="138"/>
      <c r="G30" s="138"/>
      <c r="H30" s="139"/>
      <c r="I30" s="139"/>
      <c r="J30" s="140"/>
    </row>
    <row r="31" spans="1:10" ht="12" customHeight="1">
      <c r="E31" s="138"/>
      <c r="F31" s="138"/>
      <c r="G31" s="138"/>
      <c r="H31" s="139"/>
      <c r="I31" s="139"/>
      <c r="J31" s="140"/>
    </row>
    <row r="32" spans="1:10" ht="12" customHeight="1">
      <c r="E32" s="138"/>
      <c r="F32" s="138"/>
      <c r="G32" s="138"/>
      <c r="H32" s="139"/>
      <c r="I32" s="139"/>
      <c r="J32" s="140"/>
    </row>
    <row r="33" spans="5:10" ht="12" customHeight="1">
      <c r="E33" s="138"/>
      <c r="F33" s="138"/>
      <c r="G33" s="138"/>
      <c r="H33" s="139"/>
      <c r="I33" s="139"/>
      <c r="J33" s="140"/>
    </row>
    <row r="34" spans="5:10" ht="12" customHeight="1">
      <c r="E34" s="138"/>
      <c r="F34" s="138"/>
      <c r="G34" s="138"/>
      <c r="H34" s="139"/>
      <c r="I34" s="139"/>
      <c r="J34" s="140"/>
    </row>
    <row r="35" spans="5:10" ht="12" customHeight="1">
      <c r="E35" s="138"/>
      <c r="F35" s="138"/>
      <c r="G35" s="138"/>
      <c r="H35" s="139"/>
      <c r="I35" s="139"/>
      <c r="J35" s="140"/>
    </row>
    <row r="36" spans="5:10" ht="12" customHeight="1">
      <c r="E36" s="138"/>
      <c r="F36" s="138"/>
      <c r="G36" s="138"/>
      <c r="H36" s="139"/>
      <c r="I36" s="139"/>
      <c r="J36" s="140"/>
    </row>
    <row r="37" spans="5:10" ht="12" customHeight="1">
      <c r="E37" s="138"/>
      <c r="F37" s="138"/>
      <c r="G37" s="138"/>
      <c r="H37" s="139"/>
      <c r="I37" s="139"/>
      <c r="J37" s="140"/>
    </row>
    <row r="38" spans="5:10" ht="12" customHeight="1">
      <c r="E38" s="138"/>
      <c r="F38" s="138"/>
      <c r="G38" s="138"/>
      <c r="H38" s="139"/>
      <c r="I38" s="139"/>
      <c r="J38" s="140"/>
    </row>
    <row r="39" spans="5:10" ht="12" customHeight="1">
      <c r="E39" s="138"/>
      <c r="F39" s="138"/>
      <c r="G39" s="138"/>
      <c r="H39" s="139"/>
      <c r="I39" s="139"/>
      <c r="J39" s="140"/>
    </row>
    <row r="40" spans="5:10" ht="12" customHeight="1">
      <c r="E40" s="138"/>
      <c r="F40" s="138"/>
      <c r="G40" s="138"/>
      <c r="H40" s="139"/>
      <c r="I40" s="139"/>
      <c r="J40" s="140"/>
    </row>
    <row r="41" spans="5:10" ht="12" customHeight="1">
      <c r="E41" s="138"/>
      <c r="F41" s="138"/>
      <c r="G41" s="138"/>
      <c r="H41" s="139"/>
      <c r="I41" s="139"/>
      <c r="J41" s="140"/>
    </row>
    <row r="42" spans="5:10" ht="12" customHeight="1">
      <c r="E42" s="138"/>
      <c r="F42" s="138"/>
      <c r="G42" s="138"/>
      <c r="H42" s="139"/>
      <c r="I42" s="139"/>
      <c r="J42" s="140"/>
    </row>
    <row r="43" spans="5:10" ht="12" customHeight="1">
      <c r="E43" s="138"/>
      <c r="F43" s="138"/>
      <c r="G43" s="138"/>
      <c r="H43" s="139"/>
      <c r="I43" s="139"/>
      <c r="J43" s="140"/>
    </row>
    <row r="44" spans="5:10" ht="12" customHeight="1">
      <c r="E44" s="138"/>
      <c r="F44" s="138"/>
      <c r="G44" s="138"/>
      <c r="H44" s="139"/>
      <c r="I44" s="139"/>
      <c r="J44" s="140"/>
    </row>
    <row r="45" spans="5:10" ht="12" customHeight="1">
      <c r="E45" s="138"/>
      <c r="F45" s="138"/>
      <c r="G45" s="138"/>
      <c r="H45" s="139"/>
      <c r="I45" s="139"/>
      <c r="J45" s="140"/>
    </row>
    <row r="46" spans="5:10" ht="12" customHeight="1">
      <c r="E46" s="138"/>
      <c r="F46" s="138"/>
      <c r="G46" s="138"/>
      <c r="H46" s="139"/>
      <c r="I46" s="139"/>
      <c r="J46" s="140"/>
    </row>
    <row r="47" spans="5:10" ht="12" customHeight="1">
      <c r="E47" s="138"/>
      <c r="F47" s="138"/>
      <c r="G47" s="138"/>
      <c r="H47" s="139"/>
      <c r="I47" s="139"/>
      <c r="J47" s="140"/>
    </row>
    <row r="48" spans="5:10" ht="12" customHeight="1">
      <c r="E48" s="138"/>
      <c r="F48" s="138"/>
      <c r="G48" s="138"/>
      <c r="H48" s="139"/>
      <c r="I48" s="139"/>
      <c r="J48" s="140"/>
    </row>
    <row r="49" spans="5:10" ht="12" customHeight="1">
      <c r="E49" s="138"/>
      <c r="F49" s="138"/>
      <c r="G49" s="138"/>
      <c r="H49" s="139"/>
      <c r="I49" s="139"/>
      <c r="J49" s="140"/>
    </row>
    <row r="50" spans="5:10" ht="12" customHeight="1">
      <c r="E50" s="138"/>
      <c r="F50" s="138"/>
      <c r="G50" s="138"/>
      <c r="H50" s="139"/>
      <c r="I50" s="139"/>
      <c r="J50" s="140"/>
    </row>
    <row r="51" spans="5:10" ht="12" customHeight="1">
      <c r="E51" s="138"/>
      <c r="F51" s="138"/>
      <c r="G51" s="138"/>
      <c r="H51" s="139"/>
      <c r="I51" s="139"/>
      <c r="J51" s="140"/>
    </row>
    <row r="52" spans="5:10" ht="12" customHeight="1">
      <c r="E52" s="138"/>
      <c r="F52" s="138"/>
      <c r="G52" s="138"/>
      <c r="H52" s="139"/>
      <c r="I52" s="139"/>
      <c r="J52" s="140"/>
    </row>
    <row r="53" spans="5:10" ht="12" customHeight="1">
      <c r="E53" s="138"/>
      <c r="F53" s="138"/>
      <c r="G53" s="138"/>
      <c r="H53" s="139"/>
      <c r="I53" s="139"/>
      <c r="J53" s="140"/>
    </row>
    <row r="54" spans="5:10" ht="12" customHeight="1">
      <c r="E54" s="138"/>
      <c r="F54" s="138"/>
      <c r="G54" s="138"/>
      <c r="H54" s="139"/>
      <c r="I54" s="139"/>
      <c r="J54" s="140"/>
    </row>
    <row r="55" spans="5:10" ht="12" customHeight="1">
      <c r="E55" s="138"/>
      <c r="F55" s="138"/>
      <c r="G55" s="138"/>
      <c r="H55" s="139"/>
      <c r="I55" s="139"/>
      <c r="J55" s="140"/>
    </row>
    <row r="56" spans="5:10" ht="12" customHeight="1">
      <c r="E56" s="138"/>
      <c r="F56" s="138"/>
      <c r="G56" s="138"/>
      <c r="H56" s="139"/>
      <c r="I56" s="139"/>
      <c r="J56" s="140"/>
    </row>
    <row r="57" spans="5:10" ht="12" customHeight="1">
      <c r="E57" s="138"/>
      <c r="F57" s="138"/>
      <c r="G57" s="138"/>
      <c r="H57" s="139"/>
      <c r="I57" s="139"/>
      <c r="J57" s="140"/>
    </row>
    <row r="58" spans="5:10" ht="12" customHeight="1">
      <c r="E58" s="138"/>
      <c r="F58" s="138"/>
      <c r="G58" s="138"/>
      <c r="H58" s="139"/>
      <c r="I58" s="139"/>
      <c r="J58" s="140"/>
    </row>
    <row r="59" spans="5:10" ht="12" customHeight="1">
      <c r="E59" s="138"/>
      <c r="F59" s="138"/>
      <c r="G59" s="138"/>
      <c r="H59" s="139"/>
      <c r="I59" s="139"/>
      <c r="J59" s="140"/>
    </row>
    <row r="60" spans="5:10" ht="12" customHeight="1">
      <c r="E60" s="138"/>
      <c r="F60" s="138"/>
      <c r="G60" s="138"/>
      <c r="H60" s="139"/>
      <c r="I60" s="139"/>
      <c r="J60" s="140"/>
    </row>
    <row r="61" spans="5:10" ht="12" customHeight="1">
      <c r="E61" s="138"/>
      <c r="F61" s="138"/>
      <c r="G61" s="138"/>
      <c r="H61" s="139"/>
      <c r="I61" s="139"/>
      <c r="J61" s="140"/>
    </row>
    <row r="62" spans="5:10" ht="12" customHeight="1">
      <c r="E62" s="138"/>
      <c r="F62" s="138"/>
      <c r="G62" s="138"/>
      <c r="H62" s="139"/>
      <c r="I62" s="139"/>
      <c r="J62" s="140"/>
    </row>
    <row r="63" spans="5:10" ht="12" customHeight="1">
      <c r="E63" s="138"/>
      <c r="F63" s="138"/>
      <c r="G63" s="138"/>
      <c r="H63" s="139"/>
      <c r="I63" s="139"/>
      <c r="J63" s="140"/>
    </row>
    <row r="64" spans="5:10" ht="12" customHeight="1">
      <c r="E64" s="138"/>
      <c r="F64" s="138"/>
      <c r="G64" s="138"/>
      <c r="H64" s="139"/>
      <c r="I64" s="139"/>
      <c r="J64" s="140"/>
    </row>
    <row r="65" spans="5:10" ht="12" customHeight="1">
      <c r="E65" s="138"/>
      <c r="F65" s="138"/>
      <c r="G65" s="138"/>
      <c r="H65" s="139"/>
      <c r="I65" s="139"/>
      <c r="J65" s="140"/>
    </row>
    <row r="66" spans="5:10" ht="12" customHeight="1">
      <c r="E66" s="138"/>
      <c r="F66" s="138"/>
      <c r="G66" s="138"/>
      <c r="H66" s="139"/>
      <c r="I66" s="139"/>
      <c r="J66" s="140"/>
    </row>
    <row r="67" spans="5:10" ht="12" customHeight="1">
      <c r="E67" s="138"/>
      <c r="F67" s="138"/>
      <c r="G67" s="138"/>
      <c r="H67" s="139"/>
      <c r="I67" s="139"/>
      <c r="J67" s="140"/>
    </row>
    <row r="68" spans="5:10" ht="12" customHeight="1">
      <c r="E68" s="138"/>
      <c r="F68" s="138"/>
      <c r="G68" s="138"/>
      <c r="H68" s="139"/>
      <c r="I68" s="139"/>
      <c r="J68" s="140"/>
    </row>
    <row r="69" spans="5:10" ht="12" customHeight="1">
      <c r="E69" s="138"/>
      <c r="F69" s="138"/>
      <c r="G69" s="138"/>
      <c r="H69" s="139"/>
      <c r="I69" s="139"/>
      <c r="J69" s="140"/>
    </row>
    <row r="70" spans="5:10" ht="12" customHeight="1">
      <c r="E70" s="138"/>
      <c r="F70" s="138"/>
      <c r="G70" s="138"/>
      <c r="H70" s="139"/>
      <c r="I70" s="139"/>
      <c r="J70" s="140"/>
    </row>
    <row r="71" spans="5:10" ht="12" customHeight="1">
      <c r="E71" s="138"/>
      <c r="F71" s="138"/>
      <c r="G71" s="138"/>
      <c r="H71" s="139"/>
      <c r="I71" s="139"/>
      <c r="J71" s="140"/>
    </row>
    <row r="72" spans="5:10" ht="12" customHeight="1">
      <c r="E72" s="138"/>
      <c r="F72" s="138"/>
      <c r="G72" s="138"/>
      <c r="H72" s="139"/>
      <c r="I72" s="139"/>
      <c r="J72" s="140"/>
    </row>
    <row r="73" spans="5:10" ht="12" customHeight="1">
      <c r="E73" s="138"/>
      <c r="F73" s="138"/>
      <c r="G73" s="138"/>
      <c r="H73" s="139"/>
      <c r="I73" s="139"/>
      <c r="J73" s="140"/>
    </row>
    <row r="74" spans="5:10" ht="12" customHeight="1">
      <c r="E74" s="138"/>
      <c r="F74" s="138"/>
      <c r="G74" s="138"/>
      <c r="H74" s="139"/>
      <c r="I74" s="139"/>
      <c r="J74" s="140"/>
    </row>
    <row r="75" spans="5:10" ht="12" customHeight="1">
      <c r="E75" s="138"/>
      <c r="F75" s="138"/>
      <c r="G75" s="138"/>
      <c r="H75" s="139"/>
      <c r="I75" s="139"/>
      <c r="J75" s="140"/>
    </row>
    <row r="76" spans="5:10" ht="12" customHeight="1">
      <c r="E76" s="138"/>
      <c r="F76" s="138"/>
      <c r="G76" s="138"/>
      <c r="H76" s="139"/>
      <c r="I76" s="139"/>
      <c r="J76" s="140"/>
    </row>
    <row r="77" spans="5:10" ht="12" customHeight="1">
      <c r="E77" s="138"/>
      <c r="F77" s="138"/>
      <c r="G77" s="138"/>
      <c r="H77" s="139"/>
      <c r="I77" s="139"/>
      <c r="J77" s="140"/>
    </row>
    <row r="78" spans="5:10" ht="12" customHeight="1">
      <c r="E78" s="138"/>
      <c r="F78" s="138"/>
      <c r="G78" s="138"/>
      <c r="H78" s="139"/>
      <c r="I78" s="139"/>
      <c r="J78" s="140"/>
    </row>
    <row r="79" spans="5:10" ht="12" customHeight="1">
      <c r="E79" s="138"/>
      <c r="F79" s="138"/>
      <c r="G79" s="138"/>
      <c r="H79" s="139"/>
      <c r="I79" s="139"/>
      <c r="J79" s="140"/>
    </row>
    <row r="80" spans="5:10" ht="12" customHeight="1">
      <c r="E80" s="138"/>
      <c r="F80" s="138"/>
      <c r="G80" s="138"/>
      <c r="H80" s="139"/>
      <c r="I80" s="139"/>
      <c r="J80" s="140"/>
    </row>
    <row r="81" spans="5:10" ht="12" customHeight="1">
      <c r="E81" s="138"/>
      <c r="F81" s="138"/>
      <c r="G81" s="138"/>
      <c r="H81" s="139"/>
      <c r="I81" s="139"/>
      <c r="J81" s="140"/>
    </row>
    <row r="82" spans="5:10" ht="12" customHeight="1">
      <c r="E82" s="138"/>
      <c r="F82" s="138"/>
      <c r="G82" s="138"/>
      <c r="H82" s="139"/>
      <c r="I82" s="139"/>
      <c r="J82" s="140"/>
    </row>
    <row r="83" spans="5:10" ht="12" customHeight="1">
      <c r="E83" s="138"/>
      <c r="F83" s="138"/>
      <c r="G83" s="138"/>
      <c r="H83" s="139"/>
      <c r="I83" s="139"/>
      <c r="J83" s="140"/>
    </row>
    <row r="84" spans="5:10" ht="12" customHeight="1">
      <c r="E84" s="138"/>
      <c r="F84" s="138"/>
      <c r="G84" s="138"/>
      <c r="H84" s="139"/>
      <c r="I84" s="139"/>
      <c r="J84" s="140"/>
    </row>
    <row r="85" spans="5:10" ht="12" customHeight="1">
      <c r="E85" s="138"/>
      <c r="F85" s="138"/>
      <c r="G85" s="138"/>
      <c r="H85" s="139"/>
      <c r="I85" s="139"/>
      <c r="J85" s="140"/>
    </row>
    <row r="86" spans="5:10" ht="12" customHeight="1">
      <c r="E86" s="138"/>
      <c r="F86" s="138"/>
      <c r="G86" s="138"/>
      <c r="H86" s="139"/>
      <c r="I86" s="139"/>
      <c r="J86" s="140"/>
    </row>
    <row r="87" spans="5:10" ht="12" customHeight="1">
      <c r="E87" s="138"/>
      <c r="F87" s="138"/>
      <c r="G87" s="138"/>
      <c r="H87" s="139"/>
      <c r="I87" s="139"/>
      <c r="J87" s="140"/>
    </row>
    <row r="88" spans="5:10" ht="12" customHeight="1">
      <c r="E88" s="138"/>
      <c r="F88" s="138"/>
      <c r="G88" s="138"/>
      <c r="H88" s="139"/>
      <c r="I88" s="139"/>
      <c r="J88" s="140"/>
    </row>
    <row r="89" spans="5:10" ht="12" customHeight="1">
      <c r="E89" s="138"/>
      <c r="F89" s="138"/>
      <c r="G89" s="138"/>
      <c r="H89" s="139"/>
      <c r="I89" s="139"/>
      <c r="J89" s="140"/>
    </row>
    <row r="90" spans="5:10" ht="12" customHeight="1">
      <c r="E90" s="138"/>
      <c r="F90" s="138"/>
      <c r="G90" s="138"/>
      <c r="H90" s="139"/>
      <c r="I90" s="139"/>
      <c r="J90" s="140"/>
    </row>
    <row r="91" spans="5:10" ht="12" customHeight="1">
      <c r="E91" s="138"/>
      <c r="F91" s="138"/>
      <c r="G91" s="138"/>
      <c r="H91" s="139"/>
      <c r="I91" s="139"/>
      <c r="J91" s="140"/>
    </row>
    <row r="92" spans="5:10" ht="12" customHeight="1">
      <c r="E92" s="138"/>
      <c r="F92" s="138"/>
      <c r="G92" s="138"/>
      <c r="H92" s="139"/>
      <c r="I92" s="139"/>
      <c r="J92" s="140"/>
    </row>
    <row r="93" spans="5:10" ht="12" customHeight="1">
      <c r="E93" s="138"/>
      <c r="F93" s="138"/>
      <c r="G93" s="138"/>
      <c r="H93" s="139"/>
      <c r="I93" s="139"/>
      <c r="J93" s="140"/>
    </row>
    <row r="94" spans="5:10" ht="12" customHeight="1">
      <c r="E94" s="138"/>
      <c r="F94" s="138"/>
      <c r="G94" s="138"/>
      <c r="H94" s="139"/>
      <c r="I94" s="139"/>
      <c r="J94" s="140"/>
    </row>
    <row r="95" spans="5:10" ht="12" customHeight="1">
      <c r="E95" s="138"/>
      <c r="F95" s="138"/>
      <c r="G95" s="138"/>
      <c r="H95" s="139"/>
      <c r="I95" s="139"/>
      <c r="J95" s="140"/>
    </row>
    <row r="96" spans="5:10" ht="12" customHeight="1">
      <c r="E96" s="138"/>
      <c r="F96" s="138"/>
      <c r="G96" s="138"/>
      <c r="H96" s="139"/>
      <c r="I96" s="139"/>
      <c r="J96" s="140"/>
    </row>
    <row r="97" spans="5:10" ht="12" customHeight="1">
      <c r="E97" s="138"/>
      <c r="F97" s="138"/>
      <c r="G97" s="138"/>
      <c r="H97" s="139"/>
      <c r="I97" s="139"/>
      <c r="J97" s="140"/>
    </row>
    <row r="98" spans="5:10" ht="12" customHeight="1">
      <c r="E98" s="138"/>
      <c r="F98" s="138"/>
      <c r="G98" s="138"/>
      <c r="H98" s="139"/>
      <c r="I98" s="139"/>
      <c r="J98" s="140"/>
    </row>
    <row r="99" spans="5:10" ht="12" customHeight="1">
      <c r="E99" s="138"/>
      <c r="F99" s="138"/>
      <c r="G99" s="138"/>
      <c r="H99" s="139"/>
      <c r="I99" s="139"/>
      <c r="J99" s="140"/>
    </row>
    <row r="100" spans="5:10" ht="12" customHeight="1">
      <c r="E100" s="138"/>
      <c r="F100" s="138"/>
      <c r="G100" s="138"/>
      <c r="H100" s="139"/>
      <c r="I100" s="139"/>
      <c r="J100" s="140"/>
    </row>
    <row r="101" spans="5:10" ht="12" customHeight="1">
      <c r="E101" s="138"/>
      <c r="F101" s="138"/>
      <c r="G101" s="138"/>
      <c r="H101" s="139"/>
      <c r="I101" s="139"/>
      <c r="J101" s="140"/>
    </row>
    <row r="102" spans="5:10" ht="12" customHeight="1">
      <c r="E102" s="138"/>
      <c r="F102" s="138"/>
      <c r="G102" s="138"/>
      <c r="H102" s="139"/>
      <c r="I102" s="139"/>
      <c r="J102" s="140"/>
    </row>
    <row r="103" spans="5:10" ht="12" customHeight="1">
      <c r="E103" s="138"/>
      <c r="F103" s="138"/>
      <c r="G103" s="138"/>
      <c r="H103" s="139"/>
      <c r="I103" s="139"/>
      <c r="J103" s="140"/>
    </row>
    <row r="104" spans="5:10" ht="12" customHeight="1">
      <c r="E104" s="138"/>
      <c r="F104" s="138"/>
      <c r="G104" s="138"/>
      <c r="H104" s="139"/>
      <c r="I104" s="139"/>
      <c r="J104" s="140"/>
    </row>
    <row r="105" spans="5:10" ht="12" customHeight="1">
      <c r="E105" s="138"/>
      <c r="F105" s="138"/>
      <c r="G105" s="138"/>
      <c r="H105" s="139"/>
      <c r="I105" s="139"/>
      <c r="J105" s="140"/>
    </row>
    <row r="106" spans="5:10" ht="12" customHeight="1">
      <c r="E106" s="138"/>
      <c r="F106" s="138"/>
      <c r="G106" s="138"/>
      <c r="H106" s="139"/>
      <c r="I106" s="139"/>
      <c r="J106" s="140"/>
    </row>
    <row r="107" spans="5:10" ht="12" customHeight="1">
      <c r="E107" s="138"/>
      <c r="F107" s="138"/>
      <c r="G107" s="138"/>
      <c r="H107" s="139"/>
      <c r="I107" s="139"/>
      <c r="J107" s="140"/>
    </row>
    <row r="108" spans="5:10" ht="12" customHeight="1">
      <c r="E108" s="138"/>
      <c r="F108" s="138"/>
      <c r="G108" s="138"/>
      <c r="H108" s="139"/>
      <c r="I108" s="139"/>
      <c r="J108" s="140"/>
    </row>
    <row r="109" spans="5:10" ht="12" customHeight="1">
      <c r="E109" s="138"/>
      <c r="F109" s="138"/>
      <c r="G109" s="138"/>
      <c r="H109" s="139"/>
      <c r="I109" s="139"/>
      <c r="J109" s="140"/>
    </row>
    <row r="110" spans="5:10" ht="12" customHeight="1">
      <c r="E110" s="138"/>
      <c r="F110" s="138"/>
      <c r="G110" s="138"/>
      <c r="H110" s="139"/>
      <c r="I110" s="139"/>
      <c r="J110" s="140"/>
    </row>
    <row r="111" spans="5:10" ht="12" customHeight="1">
      <c r="E111" s="138"/>
      <c r="F111" s="138"/>
      <c r="G111" s="138"/>
      <c r="H111" s="139"/>
      <c r="I111" s="139"/>
      <c r="J111" s="140"/>
    </row>
    <row r="112" spans="5:10" ht="12" customHeight="1">
      <c r="E112" s="138"/>
      <c r="F112" s="138"/>
      <c r="G112" s="138"/>
      <c r="H112" s="139"/>
      <c r="I112" s="139"/>
      <c r="J112" s="140"/>
    </row>
    <row r="113" spans="5:10" ht="12" customHeight="1">
      <c r="E113" s="138"/>
      <c r="F113" s="138"/>
      <c r="G113" s="138"/>
      <c r="H113" s="139"/>
      <c r="I113" s="139"/>
      <c r="J113" s="140"/>
    </row>
    <row r="114" spans="5:10" ht="12" customHeight="1">
      <c r="E114" s="138"/>
      <c r="F114" s="138"/>
      <c r="G114" s="138"/>
      <c r="H114" s="139"/>
      <c r="I114" s="139"/>
      <c r="J114" s="140"/>
    </row>
    <row r="115" spans="5:10" ht="12" customHeight="1">
      <c r="E115" s="138"/>
      <c r="F115" s="138"/>
      <c r="G115" s="138"/>
      <c r="H115" s="139"/>
      <c r="I115" s="139"/>
      <c r="J115" s="140"/>
    </row>
    <row r="116" spans="5:10" ht="12" customHeight="1">
      <c r="E116" s="138"/>
      <c r="F116" s="138"/>
      <c r="G116" s="138"/>
      <c r="H116" s="139"/>
      <c r="I116" s="139"/>
      <c r="J116" s="140"/>
    </row>
    <row r="117" spans="5:10" ht="12" customHeight="1">
      <c r="E117" s="138"/>
      <c r="F117" s="138"/>
      <c r="G117" s="138"/>
      <c r="H117" s="139"/>
      <c r="I117" s="139"/>
      <c r="J117" s="140"/>
    </row>
    <row r="118" spans="5:10" ht="12" customHeight="1">
      <c r="E118" s="138"/>
      <c r="F118" s="138"/>
      <c r="G118" s="138"/>
      <c r="H118" s="139"/>
      <c r="I118" s="139"/>
      <c r="J118" s="140"/>
    </row>
    <row r="119" spans="5:10" ht="12" customHeight="1">
      <c r="E119" s="138"/>
      <c r="F119" s="138"/>
      <c r="G119" s="138"/>
      <c r="H119" s="139"/>
      <c r="I119" s="139"/>
      <c r="J119" s="140"/>
    </row>
    <row r="120" spans="5:10" ht="12" customHeight="1">
      <c r="E120" s="138"/>
      <c r="F120" s="138"/>
      <c r="G120" s="138"/>
      <c r="H120" s="139"/>
      <c r="I120" s="139"/>
      <c r="J120" s="140"/>
    </row>
    <row r="121" spans="5:10" ht="12" customHeight="1">
      <c r="E121" s="138"/>
      <c r="F121" s="138"/>
      <c r="G121" s="138"/>
      <c r="H121" s="139"/>
      <c r="I121" s="139"/>
      <c r="J121" s="140"/>
    </row>
    <row r="122" spans="5:10" ht="12" customHeight="1">
      <c r="E122" s="138"/>
      <c r="F122" s="138"/>
      <c r="G122" s="138"/>
      <c r="H122" s="139"/>
      <c r="I122" s="139"/>
      <c r="J122" s="140"/>
    </row>
    <row r="123" spans="5:10" ht="12" customHeight="1">
      <c r="E123" s="138"/>
      <c r="F123" s="138"/>
      <c r="G123" s="138"/>
      <c r="H123" s="139"/>
      <c r="I123" s="139"/>
      <c r="J123" s="140"/>
    </row>
    <row r="124" spans="5:10" ht="12" customHeight="1">
      <c r="E124" s="138"/>
      <c r="F124" s="138"/>
      <c r="G124" s="138"/>
      <c r="H124" s="139"/>
      <c r="I124" s="139"/>
      <c r="J124" s="140"/>
    </row>
    <row r="125" spans="5:10" ht="12" customHeight="1">
      <c r="E125" s="138"/>
      <c r="F125" s="138"/>
      <c r="G125" s="138"/>
      <c r="H125" s="139"/>
      <c r="I125" s="139"/>
      <c r="J125" s="140"/>
    </row>
  </sheetData>
  <mergeCells count="3">
    <mergeCell ref="A10:I10"/>
    <mergeCell ref="A12:I12"/>
    <mergeCell ref="A14:I14"/>
  </mergeCells>
  <phoneticPr fontId="2" type="noConversion"/>
  <pageMargins left="0.74803149606299213" right="0.74803149606299213" top="0.95" bottom="0.78740157480314965" header="0.51181102362204722" footer="0.51181102362204722"/>
  <pageSetup paperSize="9" fitToHeight="3" orientation="landscape" r:id="rId1"/>
  <headerFooter alignWithMargins="0"/>
  <legacyDrawingHF r:id="rId2"/>
</worksheet>
</file>

<file path=xl/worksheets/sheet32.xml><?xml version="1.0" encoding="utf-8"?>
<worksheet xmlns="http://schemas.openxmlformats.org/spreadsheetml/2006/main" xmlns:r="http://schemas.openxmlformats.org/officeDocument/2006/relationships">
  <sheetPr codeName="Sheet39" enableFormatConditionsCalculation="0">
    <tabColor indexed="41"/>
    <pageSetUpPr fitToPage="1"/>
  </sheetPr>
  <dimension ref="A1:P127"/>
  <sheetViews>
    <sheetView view="pageBreakPreview" zoomScaleNormal="115" workbookViewId="0">
      <selection activeCell="A2" sqref="A2"/>
    </sheetView>
  </sheetViews>
  <sheetFormatPr defaultRowHeight="12" customHeight="1"/>
  <cols>
    <col min="1" max="1" width="6.6640625" style="137" customWidth="1"/>
    <col min="2" max="2" width="3.88671875" style="137" customWidth="1"/>
    <col min="3" max="3" width="5.5546875" style="137" customWidth="1"/>
    <col min="4" max="4" width="44.44140625" style="133" customWidth="1"/>
    <col min="5" max="7" width="7.77734375" style="133" customWidth="1"/>
    <col min="8" max="9" width="7.77734375" style="134" customWidth="1"/>
    <col min="10" max="10" width="7.77734375" style="141" customWidth="1"/>
    <col min="11" max="11" width="5" style="128" customWidth="1"/>
    <col min="12" max="16384" width="8.88671875" style="128"/>
  </cols>
  <sheetData>
    <row r="1" spans="1:13" s="125" customFormat="1" ht="30" customHeight="1" thickBot="1">
      <c r="A1" s="330" t="s">
        <v>827</v>
      </c>
      <c r="B1" s="119"/>
      <c r="C1" s="119"/>
      <c r="D1" s="143"/>
      <c r="E1" s="119"/>
      <c r="F1" s="119"/>
      <c r="G1" s="119"/>
      <c r="H1" s="120"/>
      <c r="I1" s="120"/>
      <c r="J1" s="120"/>
      <c r="K1" s="123"/>
      <c r="L1" s="124"/>
      <c r="M1" s="124"/>
    </row>
    <row r="2" spans="1:13" s="182" customFormat="1" ht="39.950000000000003" customHeight="1">
      <c r="A2" s="442" t="s">
        <v>266</v>
      </c>
      <c r="B2" s="436" t="s">
        <v>219</v>
      </c>
      <c r="C2" s="436" t="s">
        <v>288</v>
      </c>
      <c r="D2" s="436" t="s">
        <v>267</v>
      </c>
      <c r="E2" s="437" t="s">
        <v>268</v>
      </c>
      <c r="F2" s="438" t="s">
        <v>269</v>
      </c>
      <c r="G2" s="439" t="s">
        <v>235</v>
      </c>
      <c r="H2" s="439" t="s">
        <v>233</v>
      </c>
      <c r="I2" s="439" t="s">
        <v>234</v>
      </c>
      <c r="J2" s="440" t="s">
        <v>270</v>
      </c>
      <c r="K2" s="441" t="s">
        <v>220</v>
      </c>
    </row>
    <row r="3" spans="1:13" s="266" customFormat="1" ht="30" customHeight="1">
      <c r="A3" s="600" t="s">
        <v>620</v>
      </c>
      <c r="B3" s="258">
        <v>1</v>
      </c>
      <c r="C3" s="258">
        <v>453</v>
      </c>
      <c r="D3" s="537" t="s">
        <v>678</v>
      </c>
      <c r="E3" s="259">
        <v>1</v>
      </c>
      <c r="F3" s="260">
        <v>350</v>
      </c>
      <c r="G3" s="261">
        <v>1</v>
      </c>
      <c r="H3" s="262">
        <f t="shared" ref="H3:H11" si="0">IF(F3&gt;=2000,1,IF(F3&gt;=1800,0.9,IF(F3&gt;=1600,0.8,IF(F3&gt;=1400,0.7,IF(F3&gt;=1200,0.6,0)))))</f>
        <v>0</v>
      </c>
      <c r="I3" s="263">
        <f t="shared" ref="I3:I11" si="1">IF(G3&gt;=5,1,IF(G3&gt;=4,0.9,IF(G3&gt;=3,0.8,IF(G3&gt;=2,0.7,IF(G3&gt;=1,0.6,0)))))</f>
        <v>0.6</v>
      </c>
      <c r="J3" s="264">
        <f>배점기준!$E$93*MAX(H3,I3)*E3</f>
        <v>0.6</v>
      </c>
      <c r="K3" s="265"/>
    </row>
    <row r="4" spans="1:13" s="266" customFormat="1" ht="30" customHeight="1">
      <c r="A4" s="600" t="s">
        <v>620</v>
      </c>
      <c r="B4" s="258">
        <v>2</v>
      </c>
      <c r="C4" s="258">
        <v>461</v>
      </c>
      <c r="D4" s="537" t="s">
        <v>679</v>
      </c>
      <c r="E4" s="259">
        <v>1</v>
      </c>
      <c r="F4" s="260">
        <v>330</v>
      </c>
      <c r="G4" s="261">
        <v>1</v>
      </c>
      <c r="H4" s="262">
        <f t="shared" si="0"/>
        <v>0</v>
      </c>
      <c r="I4" s="263">
        <f t="shared" si="1"/>
        <v>0.6</v>
      </c>
      <c r="J4" s="264">
        <f>배점기준!$E$93*MAX(H4,I4)*E4</f>
        <v>0.6</v>
      </c>
      <c r="K4" s="265"/>
    </row>
    <row r="5" spans="1:13" s="197" customFormat="1" ht="30" customHeight="1">
      <c r="A5" s="600" t="s">
        <v>620</v>
      </c>
      <c r="B5" s="258">
        <v>4</v>
      </c>
      <c r="C5" s="258">
        <v>513</v>
      </c>
      <c r="D5" s="537" t="s">
        <v>680</v>
      </c>
      <c r="E5" s="259">
        <v>1</v>
      </c>
      <c r="F5" s="260">
        <v>920</v>
      </c>
      <c r="G5" s="261">
        <v>1</v>
      </c>
      <c r="H5" s="262">
        <f t="shared" si="0"/>
        <v>0</v>
      </c>
      <c r="I5" s="263">
        <f t="shared" si="1"/>
        <v>0.6</v>
      </c>
      <c r="J5" s="264">
        <f>배점기준!$E$93*MAX(H5,I5)*E5</f>
        <v>0.6</v>
      </c>
      <c r="K5" s="265"/>
    </row>
    <row r="6" spans="1:13" s="266" customFormat="1" ht="30" customHeight="1">
      <c r="A6" s="600" t="s">
        <v>620</v>
      </c>
      <c r="B6" s="258">
        <v>5</v>
      </c>
      <c r="C6" s="258">
        <v>517</v>
      </c>
      <c r="D6" s="537" t="s">
        <v>681</v>
      </c>
      <c r="E6" s="259">
        <v>1</v>
      </c>
      <c r="F6" s="260">
        <v>2264</v>
      </c>
      <c r="G6" s="261">
        <v>3</v>
      </c>
      <c r="H6" s="262">
        <f>IF(F6&gt;=2000,1,IF(F6&gt;=1800,0.9,IF(F6&gt;=1600,0.8,IF(F6&gt;=1400,0.7,IF(F6&gt;=1200,0.6,0)))))</f>
        <v>1</v>
      </c>
      <c r="I6" s="263">
        <f>IF(G6&gt;=5,1,IF(G6&gt;=4,0.9,IF(G6&gt;=3,0.8,IF(G6&gt;=2,0.7,IF(G6&gt;=1,0.6,0)))))</f>
        <v>0.8</v>
      </c>
      <c r="J6" s="264">
        <f>배점기준!$E$93*MAX(H6,I6)*E6</f>
        <v>1</v>
      </c>
      <c r="K6" s="265"/>
    </row>
    <row r="7" spans="1:13" s="266" customFormat="1" ht="30" customHeight="1">
      <c r="A7" s="600" t="s">
        <v>620</v>
      </c>
      <c r="B7" s="258">
        <v>6</v>
      </c>
      <c r="C7" s="258">
        <v>518</v>
      </c>
      <c r="D7" s="537" t="s">
        <v>682</v>
      </c>
      <c r="E7" s="259">
        <v>1</v>
      </c>
      <c r="F7" s="260">
        <v>455</v>
      </c>
      <c r="G7" s="261">
        <v>1</v>
      </c>
      <c r="H7" s="262">
        <f t="shared" si="0"/>
        <v>0</v>
      </c>
      <c r="I7" s="263">
        <f t="shared" si="1"/>
        <v>0.6</v>
      </c>
      <c r="J7" s="264">
        <f>배점기준!$E$93*MAX(H7,I7)*E7</f>
        <v>0.6</v>
      </c>
      <c r="K7" s="265"/>
    </row>
    <row r="8" spans="1:13" s="197" customFormat="1" ht="30" customHeight="1">
      <c r="A8" s="600" t="s">
        <v>620</v>
      </c>
      <c r="B8" s="258">
        <v>7</v>
      </c>
      <c r="C8" s="258">
        <v>553</v>
      </c>
      <c r="D8" s="537" t="s">
        <v>683</v>
      </c>
      <c r="E8" s="259">
        <v>1</v>
      </c>
      <c r="F8" s="260">
        <v>22</v>
      </c>
      <c r="G8" s="261">
        <v>1</v>
      </c>
      <c r="H8" s="262">
        <f t="shared" si="0"/>
        <v>0</v>
      </c>
      <c r="I8" s="263">
        <f t="shared" si="1"/>
        <v>0.6</v>
      </c>
      <c r="J8" s="264">
        <f>배점기준!$E$93*MAX(H8,I8)*E8</f>
        <v>0.6</v>
      </c>
      <c r="K8" s="265"/>
    </row>
    <row r="9" spans="1:13" s="197" customFormat="1" ht="30" customHeight="1">
      <c r="A9" s="619" t="s">
        <v>620</v>
      </c>
      <c r="B9" s="589">
        <v>8</v>
      </c>
      <c r="C9" s="589">
        <v>561</v>
      </c>
      <c r="D9" s="535" t="s">
        <v>684</v>
      </c>
      <c r="E9" s="591">
        <v>1</v>
      </c>
      <c r="F9" s="592">
        <v>1396</v>
      </c>
      <c r="G9" s="593">
        <v>2</v>
      </c>
      <c r="H9" s="594">
        <f t="shared" si="0"/>
        <v>0.6</v>
      </c>
      <c r="I9" s="595">
        <f t="shared" si="1"/>
        <v>0.7</v>
      </c>
      <c r="J9" s="596">
        <f>배점기준!$E$93*MAX(H9,I9)*E9</f>
        <v>0.7</v>
      </c>
      <c r="K9" s="597"/>
    </row>
    <row r="10" spans="1:13" s="197" customFormat="1" ht="30" customHeight="1">
      <c r="A10" s="600" t="s">
        <v>620</v>
      </c>
      <c r="B10" s="258">
        <v>9</v>
      </c>
      <c r="C10" s="258">
        <v>582</v>
      </c>
      <c r="D10" s="537" t="s">
        <v>685</v>
      </c>
      <c r="E10" s="259">
        <v>1</v>
      </c>
      <c r="F10" s="260">
        <v>558</v>
      </c>
      <c r="G10" s="261">
        <v>1</v>
      </c>
      <c r="H10" s="262">
        <f>IF(F10&gt;=2000,1,IF(F10&gt;=1800,0.9,IF(F10&gt;=1600,0.8,IF(F10&gt;=1400,0.7,IF(F10&gt;=1200,0.6,0)))))</f>
        <v>0</v>
      </c>
      <c r="I10" s="263">
        <f t="shared" si="1"/>
        <v>0.6</v>
      </c>
      <c r="J10" s="264">
        <f>배점기준!$E$93*MAX(H10,I10)*E10</f>
        <v>0.6</v>
      </c>
      <c r="K10" s="265"/>
    </row>
    <row r="11" spans="1:13" s="197" customFormat="1" ht="30" customHeight="1">
      <c r="A11" s="600" t="s">
        <v>620</v>
      </c>
      <c r="B11" s="258">
        <v>10</v>
      </c>
      <c r="C11" s="258">
        <v>597</v>
      </c>
      <c r="D11" s="537" t="s">
        <v>686</v>
      </c>
      <c r="E11" s="259">
        <v>1</v>
      </c>
      <c r="F11" s="260">
        <v>9</v>
      </c>
      <c r="G11" s="261">
        <v>1</v>
      </c>
      <c r="H11" s="262">
        <f t="shared" si="0"/>
        <v>0</v>
      </c>
      <c r="I11" s="263">
        <f t="shared" si="1"/>
        <v>0.6</v>
      </c>
      <c r="J11" s="264">
        <f>배점기준!$E$93*MAX(H11,I11)*E11</f>
        <v>0.6</v>
      </c>
      <c r="K11" s="265"/>
    </row>
    <row r="12" spans="1:13" s="266" customFormat="1" ht="24.95" customHeight="1">
      <c r="A12" s="1113" t="s">
        <v>228</v>
      </c>
      <c r="B12" s="1114"/>
      <c r="C12" s="1114"/>
      <c r="D12" s="1114"/>
      <c r="E12" s="1114"/>
      <c r="F12" s="1114"/>
      <c r="G12" s="1114"/>
      <c r="H12" s="1114"/>
      <c r="I12" s="1115"/>
      <c r="J12" s="519">
        <f>SUM(J3:J11)</f>
        <v>5.8999999999999995</v>
      </c>
      <c r="K12" s="265"/>
    </row>
    <row r="13" spans="1:13" s="266" customFormat="1" ht="30" customHeight="1">
      <c r="A13" s="600" t="s">
        <v>272</v>
      </c>
      <c r="B13" s="258"/>
      <c r="C13" s="258"/>
      <c r="D13" s="258"/>
      <c r="E13" s="259"/>
      <c r="F13" s="260"/>
      <c r="G13" s="260"/>
      <c r="H13" s="262"/>
      <c r="I13" s="263"/>
      <c r="J13" s="264"/>
      <c r="K13" s="265"/>
    </row>
    <row r="14" spans="1:13" s="266" customFormat="1" ht="24.95" customHeight="1">
      <c r="A14" s="1111" t="s">
        <v>273</v>
      </c>
      <c r="B14" s="1112"/>
      <c r="C14" s="1112"/>
      <c r="D14" s="1112"/>
      <c r="E14" s="1112"/>
      <c r="F14" s="1112"/>
      <c r="G14" s="1112"/>
      <c r="H14" s="1112"/>
      <c r="I14" s="1112"/>
      <c r="J14" s="519">
        <f>SUM(J13:J13)</f>
        <v>0</v>
      </c>
      <c r="K14" s="265"/>
    </row>
    <row r="15" spans="1:13" s="266" customFormat="1" ht="30" customHeight="1">
      <c r="A15" s="601" t="s">
        <v>771</v>
      </c>
      <c r="B15" s="258"/>
      <c r="C15" s="258"/>
      <c r="D15" s="258"/>
      <c r="E15" s="259"/>
      <c r="F15" s="260"/>
      <c r="G15" s="260"/>
      <c r="H15" s="262"/>
      <c r="I15" s="263"/>
      <c r="J15" s="264"/>
      <c r="K15" s="265"/>
    </row>
    <row r="16" spans="1:13" s="266" customFormat="1" ht="24.95" customHeight="1" thickBot="1">
      <c r="A16" s="1109" t="s">
        <v>274</v>
      </c>
      <c r="B16" s="1110"/>
      <c r="C16" s="1110"/>
      <c r="D16" s="1110"/>
      <c r="E16" s="1110"/>
      <c r="F16" s="1110"/>
      <c r="G16" s="1110"/>
      <c r="H16" s="1110"/>
      <c r="I16" s="1110"/>
      <c r="J16" s="520">
        <f>SUM(J15:J15)</f>
        <v>0</v>
      </c>
      <c r="K16" s="267"/>
    </row>
    <row r="17" spans="1:16" s="197" customFormat="1" ht="15" customHeight="1">
      <c r="A17" s="268"/>
      <c r="B17" s="268"/>
      <c r="C17" s="286"/>
      <c r="D17" s="269"/>
      <c r="E17" s="269"/>
      <c r="F17" s="269"/>
      <c r="G17" s="269"/>
      <c r="H17" s="270"/>
      <c r="I17" s="270"/>
      <c r="J17" s="270"/>
    </row>
    <row r="18" spans="1:16" s="197" customFormat="1" ht="15" customHeight="1">
      <c r="A18" s="271"/>
      <c r="B18" s="271"/>
      <c r="C18" s="284"/>
      <c r="D18" s="272"/>
      <c r="E18" s="272"/>
      <c r="F18" s="272"/>
      <c r="G18" s="272"/>
      <c r="H18" s="273"/>
      <c r="I18" s="273"/>
      <c r="J18" s="273"/>
    </row>
    <row r="19" spans="1:16" ht="15" customHeight="1">
      <c r="A19" s="132"/>
      <c r="B19" s="132"/>
      <c r="C19" s="285"/>
      <c r="J19" s="134"/>
    </row>
    <row r="20" spans="1:16" ht="15" customHeight="1">
      <c r="A20" s="132"/>
      <c r="B20" s="132"/>
      <c r="C20" s="285"/>
      <c r="J20" s="134"/>
    </row>
    <row r="21" spans="1:16" ht="15" customHeight="1">
      <c r="A21" s="132"/>
      <c r="B21" s="132"/>
      <c r="C21" s="285"/>
      <c r="J21" s="134"/>
      <c r="P21" s="568" t="e">
        <f>기술투자!#REF!</f>
        <v>#REF!</v>
      </c>
    </row>
    <row r="22" spans="1:16" ht="15" customHeight="1">
      <c r="A22" s="132"/>
      <c r="B22" s="132"/>
      <c r="C22" s="285"/>
      <c r="J22" s="134"/>
    </row>
    <row r="23" spans="1:16" ht="15" customHeight="1">
      <c r="E23" s="138"/>
      <c r="F23" s="138"/>
      <c r="G23" s="138"/>
      <c r="H23" s="139"/>
      <c r="I23" s="139"/>
      <c r="J23" s="140"/>
    </row>
    <row r="24" spans="1:16" ht="15" customHeight="1">
      <c r="E24" s="138"/>
      <c r="F24" s="138"/>
      <c r="G24" s="138"/>
      <c r="H24" s="139"/>
      <c r="I24" s="139"/>
      <c r="J24" s="140"/>
    </row>
    <row r="25" spans="1:16" ht="15" customHeight="1">
      <c r="E25" s="138"/>
      <c r="F25" s="138"/>
      <c r="G25" s="138"/>
      <c r="H25" s="139"/>
      <c r="I25" s="139"/>
      <c r="J25" s="140"/>
    </row>
    <row r="26" spans="1:16" ht="15" customHeight="1">
      <c r="E26" s="138"/>
      <c r="F26" s="138"/>
      <c r="G26" s="138"/>
      <c r="H26" s="139"/>
      <c r="I26" s="139"/>
      <c r="J26" s="140"/>
    </row>
    <row r="27" spans="1:16" ht="15" customHeight="1">
      <c r="E27" s="138"/>
      <c r="F27" s="138"/>
      <c r="G27" s="138"/>
      <c r="H27" s="139"/>
      <c r="I27" s="139"/>
      <c r="J27" s="140"/>
    </row>
    <row r="28" spans="1:16" ht="12" customHeight="1">
      <c r="E28" s="138"/>
      <c r="F28" s="138"/>
      <c r="G28" s="138"/>
      <c r="H28" s="139"/>
      <c r="I28" s="139"/>
      <c r="J28" s="140"/>
    </row>
    <row r="29" spans="1:16" ht="12" customHeight="1">
      <c r="E29" s="138"/>
      <c r="F29" s="138"/>
      <c r="G29" s="138"/>
      <c r="H29" s="139"/>
      <c r="I29" s="139"/>
      <c r="J29" s="140"/>
    </row>
    <row r="30" spans="1:16" ht="12" customHeight="1">
      <c r="E30" s="138"/>
      <c r="F30" s="138"/>
      <c r="G30" s="138"/>
      <c r="H30" s="139"/>
      <c r="I30" s="139"/>
      <c r="J30" s="140"/>
    </row>
    <row r="31" spans="1:16" ht="12" customHeight="1">
      <c r="E31" s="138"/>
      <c r="F31" s="138"/>
      <c r="G31" s="138"/>
      <c r="H31" s="139"/>
      <c r="I31" s="139"/>
      <c r="J31" s="140"/>
    </row>
    <row r="32" spans="1:16" ht="12" customHeight="1">
      <c r="E32" s="138"/>
      <c r="F32" s="138"/>
      <c r="G32" s="138"/>
      <c r="H32" s="139"/>
      <c r="I32" s="139"/>
      <c r="J32" s="140"/>
    </row>
    <row r="33" spans="5:10" ht="12" customHeight="1">
      <c r="E33" s="138"/>
      <c r="F33" s="138"/>
      <c r="G33" s="138"/>
      <c r="H33" s="139"/>
      <c r="I33" s="139"/>
      <c r="J33" s="140"/>
    </row>
    <row r="34" spans="5:10" ht="12" customHeight="1">
      <c r="E34" s="138"/>
      <c r="F34" s="138"/>
      <c r="G34" s="138"/>
      <c r="H34" s="139"/>
      <c r="I34" s="139"/>
      <c r="J34" s="140"/>
    </row>
    <row r="35" spans="5:10" ht="12" customHeight="1">
      <c r="E35" s="138"/>
      <c r="F35" s="138"/>
      <c r="G35" s="138"/>
      <c r="H35" s="139"/>
      <c r="I35" s="139"/>
      <c r="J35" s="140"/>
    </row>
    <row r="36" spans="5:10" ht="12" customHeight="1">
      <c r="E36" s="138"/>
      <c r="F36" s="138"/>
      <c r="G36" s="138"/>
      <c r="H36" s="139"/>
      <c r="I36" s="139"/>
      <c r="J36" s="140"/>
    </row>
    <row r="37" spans="5:10" ht="12" customHeight="1">
      <c r="E37" s="138"/>
      <c r="F37" s="138"/>
      <c r="G37" s="138"/>
      <c r="H37" s="139"/>
      <c r="I37" s="139"/>
      <c r="J37" s="140"/>
    </row>
    <row r="38" spans="5:10" ht="12" customHeight="1">
      <c r="E38" s="138"/>
      <c r="F38" s="138"/>
      <c r="G38" s="138"/>
      <c r="H38" s="139"/>
      <c r="I38" s="139"/>
      <c r="J38" s="140"/>
    </row>
    <row r="39" spans="5:10" ht="12" customHeight="1">
      <c r="E39" s="138"/>
      <c r="F39" s="138"/>
      <c r="G39" s="138"/>
      <c r="H39" s="139"/>
      <c r="I39" s="139"/>
      <c r="J39" s="140"/>
    </row>
    <row r="40" spans="5:10" ht="12" customHeight="1">
      <c r="E40" s="138"/>
      <c r="F40" s="138"/>
      <c r="G40" s="138"/>
      <c r="H40" s="139"/>
      <c r="I40" s="139"/>
      <c r="J40" s="140"/>
    </row>
    <row r="41" spans="5:10" ht="12" customHeight="1">
      <c r="E41" s="138"/>
      <c r="F41" s="138"/>
      <c r="G41" s="138"/>
      <c r="H41" s="139"/>
      <c r="I41" s="139"/>
      <c r="J41" s="140"/>
    </row>
    <row r="42" spans="5:10" ht="12" customHeight="1">
      <c r="E42" s="138"/>
      <c r="F42" s="138"/>
      <c r="G42" s="138"/>
      <c r="H42" s="139"/>
      <c r="I42" s="139"/>
      <c r="J42" s="140"/>
    </row>
    <row r="43" spans="5:10" ht="12" customHeight="1">
      <c r="E43" s="138"/>
      <c r="F43" s="138"/>
      <c r="G43" s="138"/>
      <c r="H43" s="139"/>
      <c r="I43" s="139"/>
      <c r="J43" s="140"/>
    </row>
    <row r="44" spans="5:10" ht="12" customHeight="1">
      <c r="E44" s="138"/>
      <c r="F44" s="138"/>
      <c r="G44" s="138"/>
      <c r="H44" s="139"/>
      <c r="I44" s="139"/>
      <c r="J44" s="140"/>
    </row>
    <row r="45" spans="5:10" ht="12" customHeight="1">
      <c r="E45" s="138"/>
      <c r="F45" s="138"/>
      <c r="G45" s="138"/>
      <c r="H45" s="139"/>
      <c r="I45" s="139"/>
      <c r="J45" s="140"/>
    </row>
    <row r="46" spans="5:10" ht="12" customHeight="1">
      <c r="E46" s="138"/>
      <c r="F46" s="138"/>
      <c r="G46" s="138"/>
      <c r="H46" s="139"/>
      <c r="I46" s="139"/>
      <c r="J46" s="140"/>
    </row>
    <row r="47" spans="5:10" ht="12" customHeight="1">
      <c r="E47" s="138"/>
      <c r="F47" s="138"/>
      <c r="G47" s="138"/>
      <c r="H47" s="139"/>
      <c r="I47" s="139"/>
      <c r="J47" s="140"/>
    </row>
    <row r="48" spans="5:10" ht="12" customHeight="1">
      <c r="E48" s="138"/>
      <c r="F48" s="138"/>
      <c r="G48" s="138"/>
      <c r="H48" s="139"/>
      <c r="I48" s="139"/>
      <c r="J48" s="140"/>
    </row>
    <row r="49" spans="5:10" ht="12" customHeight="1">
      <c r="E49" s="138"/>
      <c r="F49" s="138"/>
      <c r="G49" s="138"/>
      <c r="H49" s="139"/>
      <c r="I49" s="139"/>
      <c r="J49" s="140"/>
    </row>
    <row r="50" spans="5:10" ht="12" customHeight="1">
      <c r="E50" s="138"/>
      <c r="F50" s="138"/>
      <c r="G50" s="138"/>
      <c r="H50" s="139"/>
      <c r="I50" s="139"/>
      <c r="J50" s="140"/>
    </row>
    <row r="51" spans="5:10" ht="12" customHeight="1">
      <c r="E51" s="138"/>
      <c r="F51" s="138"/>
      <c r="G51" s="138"/>
      <c r="H51" s="139"/>
      <c r="I51" s="139"/>
      <c r="J51" s="140"/>
    </row>
    <row r="52" spans="5:10" ht="12" customHeight="1">
      <c r="E52" s="138"/>
      <c r="F52" s="138"/>
      <c r="G52" s="138"/>
      <c r="H52" s="139"/>
      <c r="I52" s="139"/>
      <c r="J52" s="140"/>
    </row>
    <row r="53" spans="5:10" ht="12" customHeight="1">
      <c r="E53" s="138"/>
      <c r="F53" s="138"/>
      <c r="G53" s="138"/>
      <c r="H53" s="139"/>
      <c r="I53" s="139"/>
      <c r="J53" s="140"/>
    </row>
    <row r="54" spans="5:10" ht="12" customHeight="1">
      <c r="E54" s="138"/>
      <c r="F54" s="138"/>
      <c r="G54" s="138"/>
      <c r="H54" s="139"/>
      <c r="I54" s="139"/>
      <c r="J54" s="140"/>
    </row>
    <row r="55" spans="5:10" ht="12" customHeight="1">
      <c r="E55" s="138"/>
      <c r="F55" s="138"/>
      <c r="G55" s="138"/>
      <c r="H55" s="139"/>
      <c r="I55" s="139"/>
      <c r="J55" s="140"/>
    </row>
    <row r="56" spans="5:10" ht="12" customHeight="1">
      <c r="E56" s="138"/>
      <c r="F56" s="138"/>
      <c r="G56" s="138"/>
      <c r="H56" s="139"/>
      <c r="I56" s="139"/>
      <c r="J56" s="140"/>
    </row>
    <row r="57" spans="5:10" ht="12" customHeight="1">
      <c r="E57" s="138"/>
      <c r="F57" s="138"/>
      <c r="G57" s="138"/>
      <c r="H57" s="139"/>
      <c r="I57" s="139"/>
      <c r="J57" s="140"/>
    </row>
    <row r="58" spans="5:10" ht="12" customHeight="1">
      <c r="E58" s="138"/>
      <c r="F58" s="138"/>
      <c r="G58" s="138"/>
      <c r="H58" s="139"/>
      <c r="I58" s="139"/>
      <c r="J58" s="140"/>
    </row>
    <row r="59" spans="5:10" ht="12" customHeight="1">
      <c r="E59" s="138"/>
      <c r="F59" s="138"/>
      <c r="G59" s="138"/>
      <c r="H59" s="139"/>
      <c r="I59" s="139"/>
      <c r="J59" s="140"/>
    </row>
    <row r="60" spans="5:10" ht="12" customHeight="1">
      <c r="E60" s="138"/>
      <c r="F60" s="138"/>
      <c r="G60" s="138"/>
      <c r="H60" s="139"/>
      <c r="I60" s="139"/>
      <c r="J60" s="140"/>
    </row>
    <row r="61" spans="5:10" ht="12" customHeight="1">
      <c r="E61" s="138"/>
      <c r="F61" s="138"/>
      <c r="G61" s="138"/>
      <c r="H61" s="139"/>
      <c r="I61" s="139"/>
      <c r="J61" s="140"/>
    </row>
    <row r="62" spans="5:10" ht="12" customHeight="1">
      <c r="E62" s="138"/>
      <c r="F62" s="138"/>
      <c r="G62" s="138"/>
      <c r="H62" s="139"/>
      <c r="I62" s="139"/>
      <c r="J62" s="140"/>
    </row>
    <row r="63" spans="5:10" ht="12" customHeight="1">
      <c r="E63" s="138"/>
      <c r="F63" s="138"/>
      <c r="G63" s="138"/>
      <c r="H63" s="139"/>
      <c r="I63" s="139"/>
      <c r="J63" s="140"/>
    </row>
    <row r="64" spans="5:10" ht="12" customHeight="1">
      <c r="E64" s="138"/>
      <c r="F64" s="138"/>
      <c r="G64" s="138"/>
      <c r="H64" s="139"/>
      <c r="I64" s="139"/>
      <c r="J64" s="140"/>
    </row>
    <row r="65" spans="5:10" ht="12" customHeight="1">
      <c r="E65" s="138"/>
      <c r="F65" s="138"/>
      <c r="G65" s="138"/>
      <c r="H65" s="139"/>
      <c r="I65" s="139"/>
      <c r="J65" s="140"/>
    </row>
    <row r="66" spans="5:10" ht="12" customHeight="1">
      <c r="E66" s="138"/>
      <c r="F66" s="138"/>
      <c r="G66" s="138"/>
      <c r="H66" s="139"/>
      <c r="I66" s="139"/>
      <c r="J66" s="140"/>
    </row>
    <row r="67" spans="5:10" ht="12" customHeight="1">
      <c r="E67" s="138"/>
      <c r="F67" s="138"/>
      <c r="G67" s="138"/>
      <c r="H67" s="139"/>
      <c r="I67" s="139"/>
      <c r="J67" s="140"/>
    </row>
    <row r="68" spans="5:10" ht="12" customHeight="1">
      <c r="E68" s="138"/>
      <c r="F68" s="138"/>
      <c r="G68" s="138"/>
      <c r="H68" s="139"/>
      <c r="I68" s="139"/>
      <c r="J68" s="140"/>
    </row>
    <row r="69" spans="5:10" ht="12" customHeight="1">
      <c r="E69" s="138"/>
      <c r="F69" s="138"/>
      <c r="G69" s="138"/>
      <c r="H69" s="139"/>
      <c r="I69" s="139"/>
      <c r="J69" s="140"/>
    </row>
    <row r="70" spans="5:10" ht="12" customHeight="1">
      <c r="E70" s="138"/>
      <c r="F70" s="138"/>
      <c r="G70" s="138"/>
      <c r="H70" s="139"/>
      <c r="I70" s="139"/>
      <c r="J70" s="140"/>
    </row>
    <row r="71" spans="5:10" ht="12" customHeight="1">
      <c r="E71" s="138"/>
      <c r="F71" s="138"/>
      <c r="G71" s="138"/>
      <c r="H71" s="139"/>
      <c r="I71" s="139"/>
      <c r="J71" s="140"/>
    </row>
    <row r="72" spans="5:10" ht="12" customHeight="1">
      <c r="E72" s="138"/>
      <c r="F72" s="138"/>
      <c r="G72" s="138"/>
      <c r="H72" s="139"/>
      <c r="I72" s="139"/>
      <c r="J72" s="140"/>
    </row>
    <row r="73" spans="5:10" ht="12" customHeight="1">
      <c r="E73" s="138"/>
      <c r="F73" s="138"/>
      <c r="G73" s="138"/>
      <c r="H73" s="139"/>
      <c r="I73" s="139"/>
      <c r="J73" s="140"/>
    </row>
    <row r="74" spans="5:10" ht="12" customHeight="1">
      <c r="E74" s="138"/>
      <c r="F74" s="138"/>
      <c r="G74" s="138"/>
      <c r="H74" s="139"/>
      <c r="I74" s="139"/>
      <c r="J74" s="140"/>
    </row>
    <row r="75" spans="5:10" ht="12" customHeight="1">
      <c r="E75" s="138"/>
      <c r="F75" s="138"/>
      <c r="G75" s="138"/>
      <c r="H75" s="139"/>
      <c r="I75" s="139"/>
      <c r="J75" s="140"/>
    </row>
    <row r="76" spans="5:10" ht="12" customHeight="1">
      <c r="E76" s="138"/>
      <c r="F76" s="138"/>
      <c r="G76" s="138"/>
      <c r="H76" s="139"/>
      <c r="I76" s="139"/>
      <c r="J76" s="140"/>
    </row>
    <row r="77" spans="5:10" ht="12" customHeight="1">
      <c r="E77" s="138"/>
      <c r="F77" s="138"/>
      <c r="G77" s="138"/>
      <c r="H77" s="139"/>
      <c r="I77" s="139"/>
      <c r="J77" s="140"/>
    </row>
    <row r="78" spans="5:10" ht="12" customHeight="1">
      <c r="E78" s="138"/>
      <c r="F78" s="138"/>
      <c r="G78" s="138"/>
      <c r="H78" s="139"/>
      <c r="I78" s="139"/>
      <c r="J78" s="140"/>
    </row>
    <row r="79" spans="5:10" ht="12" customHeight="1">
      <c r="E79" s="138"/>
      <c r="F79" s="138"/>
      <c r="G79" s="138"/>
      <c r="H79" s="139"/>
      <c r="I79" s="139"/>
      <c r="J79" s="140"/>
    </row>
    <row r="80" spans="5:10" ht="12" customHeight="1">
      <c r="E80" s="138"/>
      <c r="F80" s="138"/>
      <c r="G80" s="138"/>
      <c r="H80" s="139"/>
      <c r="I80" s="139"/>
      <c r="J80" s="140"/>
    </row>
    <row r="81" spans="5:10" ht="12" customHeight="1">
      <c r="E81" s="138"/>
      <c r="F81" s="138"/>
      <c r="G81" s="138"/>
      <c r="H81" s="139"/>
      <c r="I81" s="139"/>
      <c r="J81" s="140"/>
    </row>
    <row r="82" spans="5:10" ht="12" customHeight="1">
      <c r="E82" s="138"/>
      <c r="F82" s="138"/>
      <c r="G82" s="138"/>
      <c r="H82" s="139"/>
      <c r="I82" s="139"/>
      <c r="J82" s="140"/>
    </row>
    <row r="83" spans="5:10" ht="12" customHeight="1">
      <c r="E83" s="138"/>
      <c r="F83" s="138"/>
      <c r="G83" s="138"/>
      <c r="H83" s="139"/>
      <c r="I83" s="139"/>
      <c r="J83" s="140"/>
    </row>
    <row r="84" spans="5:10" ht="12" customHeight="1">
      <c r="E84" s="138"/>
      <c r="F84" s="138"/>
      <c r="G84" s="138"/>
      <c r="H84" s="139"/>
      <c r="I84" s="139"/>
      <c r="J84" s="140"/>
    </row>
    <row r="85" spans="5:10" ht="12" customHeight="1">
      <c r="E85" s="138"/>
      <c r="F85" s="138"/>
      <c r="G85" s="138"/>
      <c r="H85" s="139"/>
      <c r="I85" s="139"/>
      <c r="J85" s="140"/>
    </row>
    <row r="86" spans="5:10" ht="12" customHeight="1">
      <c r="E86" s="138"/>
      <c r="F86" s="138"/>
      <c r="G86" s="138"/>
      <c r="H86" s="139"/>
      <c r="I86" s="139"/>
      <c r="J86" s="140"/>
    </row>
    <row r="87" spans="5:10" ht="12" customHeight="1">
      <c r="E87" s="138"/>
      <c r="F87" s="138"/>
      <c r="G87" s="138"/>
      <c r="H87" s="139"/>
      <c r="I87" s="139"/>
      <c r="J87" s="140"/>
    </row>
    <row r="88" spans="5:10" ht="12" customHeight="1">
      <c r="E88" s="138"/>
      <c r="F88" s="138"/>
      <c r="G88" s="138"/>
      <c r="H88" s="139"/>
      <c r="I88" s="139"/>
      <c r="J88" s="140"/>
    </row>
    <row r="89" spans="5:10" ht="12" customHeight="1">
      <c r="E89" s="138"/>
      <c r="F89" s="138"/>
      <c r="G89" s="138"/>
      <c r="H89" s="139"/>
      <c r="I89" s="139"/>
      <c r="J89" s="140"/>
    </row>
    <row r="90" spans="5:10" ht="12" customHeight="1">
      <c r="E90" s="138"/>
      <c r="F90" s="138"/>
      <c r="G90" s="138"/>
      <c r="H90" s="139"/>
      <c r="I90" s="139"/>
      <c r="J90" s="140"/>
    </row>
    <row r="91" spans="5:10" ht="12" customHeight="1">
      <c r="E91" s="138"/>
      <c r="F91" s="138"/>
      <c r="G91" s="138"/>
      <c r="H91" s="139"/>
      <c r="I91" s="139"/>
      <c r="J91" s="140"/>
    </row>
    <row r="92" spans="5:10" ht="12" customHeight="1">
      <c r="E92" s="138"/>
      <c r="F92" s="138"/>
      <c r="G92" s="138"/>
      <c r="H92" s="139"/>
      <c r="I92" s="139"/>
      <c r="J92" s="140"/>
    </row>
    <row r="93" spans="5:10" ht="12" customHeight="1">
      <c r="E93" s="138"/>
      <c r="F93" s="138"/>
      <c r="G93" s="138"/>
      <c r="H93" s="139"/>
      <c r="I93" s="139"/>
      <c r="J93" s="140"/>
    </row>
    <row r="94" spans="5:10" ht="12" customHeight="1">
      <c r="E94" s="138"/>
      <c r="F94" s="138"/>
      <c r="G94" s="138"/>
      <c r="H94" s="139"/>
      <c r="I94" s="139"/>
      <c r="J94" s="140"/>
    </row>
    <row r="95" spans="5:10" ht="12" customHeight="1">
      <c r="E95" s="138"/>
      <c r="F95" s="138"/>
      <c r="G95" s="138"/>
      <c r="H95" s="139"/>
      <c r="I95" s="139"/>
      <c r="J95" s="140"/>
    </row>
    <row r="96" spans="5:10" ht="12" customHeight="1">
      <c r="E96" s="138"/>
      <c r="F96" s="138"/>
      <c r="G96" s="138"/>
      <c r="H96" s="139"/>
      <c r="I96" s="139"/>
      <c r="J96" s="140"/>
    </row>
    <row r="97" spans="5:10" ht="12" customHeight="1">
      <c r="E97" s="138"/>
      <c r="F97" s="138"/>
      <c r="G97" s="138"/>
      <c r="H97" s="139"/>
      <c r="I97" s="139"/>
      <c r="J97" s="140"/>
    </row>
    <row r="98" spans="5:10" ht="12" customHeight="1">
      <c r="E98" s="138"/>
      <c r="F98" s="138"/>
      <c r="G98" s="138"/>
      <c r="H98" s="139"/>
      <c r="I98" s="139"/>
      <c r="J98" s="140"/>
    </row>
    <row r="99" spans="5:10" ht="12" customHeight="1">
      <c r="E99" s="138"/>
      <c r="F99" s="138"/>
      <c r="G99" s="138"/>
      <c r="H99" s="139"/>
      <c r="I99" s="139"/>
      <c r="J99" s="140"/>
    </row>
    <row r="100" spans="5:10" ht="12" customHeight="1">
      <c r="E100" s="138"/>
      <c r="F100" s="138"/>
      <c r="G100" s="138"/>
      <c r="H100" s="139"/>
      <c r="I100" s="139"/>
      <c r="J100" s="140"/>
    </row>
    <row r="101" spans="5:10" ht="12" customHeight="1">
      <c r="E101" s="138"/>
      <c r="F101" s="138"/>
      <c r="G101" s="138"/>
      <c r="H101" s="139"/>
      <c r="I101" s="139"/>
      <c r="J101" s="140"/>
    </row>
    <row r="102" spans="5:10" ht="12" customHeight="1">
      <c r="E102" s="138"/>
      <c r="F102" s="138"/>
      <c r="G102" s="138"/>
      <c r="H102" s="139"/>
      <c r="I102" s="139"/>
      <c r="J102" s="140"/>
    </row>
    <row r="103" spans="5:10" ht="12" customHeight="1">
      <c r="E103" s="138"/>
      <c r="F103" s="138"/>
      <c r="G103" s="138"/>
      <c r="H103" s="139"/>
      <c r="I103" s="139"/>
      <c r="J103" s="140"/>
    </row>
    <row r="104" spans="5:10" ht="12" customHeight="1">
      <c r="E104" s="138"/>
      <c r="F104" s="138"/>
      <c r="G104" s="138"/>
      <c r="H104" s="139"/>
      <c r="I104" s="139"/>
      <c r="J104" s="140"/>
    </row>
    <row r="105" spans="5:10" ht="12" customHeight="1">
      <c r="E105" s="138"/>
      <c r="F105" s="138"/>
      <c r="G105" s="138"/>
      <c r="H105" s="139"/>
      <c r="I105" s="139"/>
      <c r="J105" s="140"/>
    </row>
    <row r="106" spans="5:10" ht="12" customHeight="1">
      <c r="E106" s="138"/>
      <c r="F106" s="138"/>
      <c r="G106" s="138"/>
      <c r="H106" s="139"/>
      <c r="I106" s="139"/>
      <c r="J106" s="140"/>
    </row>
    <row r="107" spans="5:10" ht="12" customHeight="1">
      <c r="E107" s="138"/>
      <c r="F107" s="138"/>
      <c r="G107" s="138"/>
      <c r="H107" s="139"/>
      <c r="I107" s="139"/>
      <c r="J107" s="140"/>
    </row>
    <row r="108" spans="5:10" ht="12" customHeight="1">
      <c r="E108" s="138"/>
      <c r="F108" s="138"/>
      <c r="G108" s="138"/>
      <c r="H108" s="139"/>
      <c r="I108" s="139"/>
      <c r="J108" s="140"/>
    </row>
    <row r="109" spans="5:10" ht="12" customHeight="1">
      <c r="E109" s="138"/>
      <c r="F109" s="138"/>
      <c r="G109" s="138"/>
      <c r="H109" s="139"/>
      <c r="I109" s="139"/>
      <c r="J109" s="140"/>
    </row>
    <row r="110" spans="5:10" ht="12" customHeight="1">
      <c r="E110" s="138"/>
      <c r="F110" s="138"/>
      <c r="G110" s="138"/>
      <c r="H110" s="139"/>
      <c r="I110" s="139"/>
      <c r="J110" s="140"/>
    </row>
    <row r="111" spans="5:10" ht="12" customHeight="1">
      <c r="E111" s="138"/>
      <c r="F111" s="138"/>
      <c r="G111" s="138"/>
      <c r="H111" s="139"/>
      <c r="I111" s="139"/>
      <c r="J111" s="140"/>
    </row>
    <row r="112" spans="5:10" ht="12" customHeight="1">
      <c r="E112" s="138"/>
      <c r="F112" s="138"/>
      <c r="G112" s="138"/>
      <c r="H112" s="139"/>
      <c r="I112" s="139"/>
      <c r="J112" s="140"/>
    </row>
    <row r="113" spans="5:10" ht="12" customHeight="1">
      <c r="E113" s="138"/>
      <c r="F113" s="138"/>
      <c r="G113" s="138"/>
      <c r="H113" s="139"/>
      <c r="I113" s="139"/>
      <c r="J113" s="140"/>
    </row>
    <row r="114" spans="5:10" ht="12" customHeight="1">
      <c r="E114" s="138"/>
      <c r="F114" s="138"/>
      <c r="G114" s="138"/>
      <c r="H114" s="139"/>
      <c r="I114" s="139"/>
      <c r="J114" s="140"/>
    </row>
    <row r="115" spans="5:10" ht="12" customHeight="1">
      <c r="E115" s="138"/>
      <c r="F115" s="138"/>
      <c r="G115" s="138"/>
      <c r="H115" s="139"/>
      <c r="I115" s="139"/>
      <c r="J115" s="140"/>
    </row>
    <row r="116" spans="5:10" ht="12" customHeight="1">
      <c r="E116" s="138"/>
      <c r="F116" s="138"/>
      <c r="G116" s="138"/>
      <c r="H116" s="139"/>
      <c r="I116" s="139"/>
      <c r="J116" s="140"/>
    </row>
    <row r="117" spans="5:10" ht="12" customHeight="1">
      <c r="E117" s="138"/>
      <c r="F117" s="138"/>
      <c r="G117" s="138"/>
      <c r="H117" s="139"/>
      <c r="I117" s="139"/>
      <c r="J117" s="140"/>
    </row>
    <row r="118" spans="5:10" ht="12" customHeight="1">
      <c r="E118" s="138"/>
      <c r="F118" s="138"/>
      <c r="G118" s="138"/>
      <c r="H118" s="139"/>
      <c r="I118" s="139"/>
      <c r="J118" s="140"/>
    </row>
    <row r="119" spans="5:10" ht="12" customHeight="1">
      <c r="E119" s="138"/>
      <c r="F119" s="138"/>
      <c r="G119" s="138"/>
      <c r="H119" s="139"/>
      <c r="I119" s="139"/>
      <c r="J119" s="140"/>
    </row>
    <row r="120" spans="5:10" ht="12" customHeight="1">
      <c r="E120" s="138"/>
      <c r="F120" s="138"/>
      <c r="G120" s="138"/>
      <c r="H120" s="139"/>
      <c r="I120" s="139"/>
      <c r="J120" s="140"/>
    </row>
    <row r="121" spans="5:10" ht="12" customHeight="1">
      <c r="E121" s="138"/>
      <c r="F121" s="138"/>
      <c r="G121" s="138"/>
      <c r="H121" s="139"/>
      <c r="I121" s="139"/>
      <c r="J121" s="140"/>
    </row>
    <row r="122" spans="5:10" ht="12" customHeight="1">
      <c r="E122" s="138"/>
      <c r="F122" s="138"/>
      <c r="G122" s="138"/>
      <c r="H122" s="139"/>
      <c r="I122" s="139"/>
      <c r="J122" s="140"/>
    </row>
    <row r="123" spans="5:10" ht="12" customHeight="1">
      <c r="E123" s="138"/>
      <c r="F123" s="138"/>
      <c r="G123" s="138"/>
      <c r="H123" s="139"/>
      <c r="I123" s="139"/>
      <c r="J123" s="140"/>
    </row>
    <row r="124" spans="5:10" ht="12" customHeight="1">
      <c r="E124" s="138"/>
      <c r="F124" s="138"/>
      <c r="G124" s="138"/>
      <c r="H124" s="139"/>
      <c r="I124" s="139"/>
      <c r="J124" s="140"/>
    </row>
    <row r="125" spans="5:10" ht="12" customHeight="1">
      <c r="E125" s="138"/>
      <c r="F125" s="138"/>
      <c r="G125" s="138"/>
      <c r="H125" s="139"/>
      <c r="I125" s="139"/>
      <c r="J125" s="140"/>
    </row>
    <row r="126" spans="5:10" ht="12" customHeight="1">
      <c r="E126" s="138"/>
      <c r="F126" s="138"/>
      <c r="G126" s="138"/>
      <c r="H126" s="139"/>
      <c r="I126" s="139"/>
      <c r="J126" s="140"/>
    </row>
    <row r="127" spans="5:10" ht="12" customHeight="1">
      <c r="E127" s="138"/>
      <c r="F127" s="138"/>
      <c r="G127" s="138"/>
      <c r="H127" s="139"/>
      <c r="I127" s="139"/>
      <c r="J127" s="140"/>
    </row>
  </sheetData>
  <mergeCells count="3">
    <mergeCell ref="A16:I16"/>
    <mergeCell ref="A14:I14"/>
    <mergeCell ref="A12:I12"/>
  </mergeCells>
  <phoneticPr fontId="23" type="noConversion"/>
  <pageMargins left="0.8" right="0.74803149606299213" top="0.51" bottom="0.4" header="0.35" footer="0.32"/>
  <pageSetup paperSize="9" fitToHeight="3" orientation="landscape" r:id="rId1"/>
  <headerFooter alignWithMargins="0"/>
  <legacyDrawingHF r:id="rId2"/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indexed="10"/>
    <pageSetUpPr fitToPage="1"/>
  </sheetPr>
  <dimension ref="A1:O23"/>
  <sheetViews>
    <sheetView view="pageBreakPreview" zoomScaleNormal="70" zoomScaleSheetLayoutView="55" workbookViewId="0">
      <selection activeCell="A2" sqref="A2"/>
    </sheetView>
  </sheetViews>
  <sheetFormatPr defaultRowHeight="15.95" customHeight="1"/>
  <cols>
    <col min="1" max="1" width="3.5546875" style="24" customWidth="1"/>
    <col min="2" max="2" width="20" style="24" customWidth="1"/>
    <col min="3" max="3" width="11.77734375" style="87" customWidth="1"/>
    <col min="4" max="9" width="8.88671875" style="24"/>
    <col min="10" max="10" width="9.6640625" style="24" customWidth="1"/>
    <col min="11" max="11" width="7.77734375" style="24" customWidth="1"/>
    <col min="12" max="15" width="7.77734375" style="2" customWidth="1"/>
    <col min="16" max="18" width="6" style="2" customWidth="1"/>
    <col min="19" max="19" width="5.44140625" style="2" customWidth="1"/>
    <col min="20" max="20" width="7" style="2" customWidth="1"/>
    <col min="21" max="16384" width="8.88671875" style="2"/>
  </cols>
  <sheetData>
    <row r="1" spans="1:12" s="8" customFormat="1" ht="23.25" customHeight="1" thickBot="1">
      <c r="A1" s="78" t="s">
        <v>839</v>
      </c>
      <c r="B1" s="79"/>
      <c r="C1" s="95"/>
      <c r="D1" s="79"/>
      <c r="E1" s="79"/>
      <c r="F1" s="79"/>
      <c r="G1" s="79"/>
      <c r="H1" s="79"/>
      <c r="I1" s="79"/>
      <c r="J1" s="79"/>
      <c r="K1" s="79"/>
    </row>
    <row r="2" spans="1:12" s="8" customFormat="1" ht="24.75" customHeight="1" thickBot="1">
      <c r="A2" s="78"/>
      <c r="B2" s="79"/>
      <c r="C2" s="95"/>
      <c r="D2" s="79"/>
      <c r="E2" s="79"/>
      <c r="F2" s="79"/>
      <c r="G2" s="633"/>
      <c r="H2" s="634"/>
      <c r="I2" s="545" t="s">
        <v>38</v>
      </c>
      <c r="J2" s="546">
        <v>24</v>
      </c>
      <c r="K2" s="79"/>
    </row>
    <row r="3" spans="1:12" ht="18" customHeight="1" thickBot="1">
      <c r="B3" s="96"/>
      <c r="C3" s="79"/>
      <c r="D3" s="25"/>
      <c r="E3" s="25"/>
      <c r="F3" s="25"/>
      <c r="G3" s="25"/>
      <c r="H3" s="25"/>
      <c r="I3" s="25"/>
      <c r="J3" s="25"/>
      <c r="K3" s="25"/>
    </row>
    <row r="4" spans="1:12" ht="32.25" customHeight="1">
      <c r="B4" s="1116" t="s">
        <v>88</v>
      </c>
      <c r="C4" s="1118" t="s">
        <v>292</v>
      </c>
      <c r="D4" s="1119"/>
      <c r="E4" s="1119"/>
      <c r="F4" s="1119"/>
      <c r="G4" s="1119"/>
      <c r="H4" s="1119"/>
      <c r="I4" s="1119"/>
      <c r="J4" s="1120"/>
      <c r="K4" s="2"/>
    </row>
    <row r="5" spans="1:12" ht="32.25" customHeight="1">
      <c r="B5" s="1117"/>
      <c r="C5" s="410" t="s">
        <v>308</v>
      </c>
      <c r="D5" s="598" t="s">
        <v>307</v>
      </c>
      <c r="E5" s="547" t="str">
        <f>배점기준!C3</f>
        <v>도시계획</v>
      </c>
      <c r="F5" s="411" t="str">
        <f>배점기준!C4</f>
        <v>토질지질</v>
      </c>
      <c r="G5" s="411" t="str">
        <f>배점기준!C5</f>
        <v>도로공항</v>
      </c>
      <c r="H5" s="411" t="str">
        <f>배점기준!C6</f>
        <v>토목구조</v>
      </c>
      <c r="I5" s="411" t="str">
        <f>배점기준!C7</f>
        <v>상하수도</v>
      </c>
      <c r="J5" s="599" t="s">
        <v>330</v>
      </c>
      <c r="K5" s="2"/>
    </row>
    <row r="6" spans="1:12" ht="42" customHeight="1">
      <c r="B6" s="334" t="str">
        <f>신용도!B6</f>
        <v>oo엔지니어링</v>
      </c>
      <c r="C6" s="340" t="s">
        <v>439</v>
      </c>
      <c r="D6" s="730">
        <f>중복신고!H9</f>
        <v>4.5333333333333332</v>
      </c>
      <c r="E6" s="729">
        <f>중복신고!H18</f>
        <v>21.033333333333335</v>
      </c>
      <c r="F6" s="728">
        <f>중복신고!H26</f>
        <v>34.333333333333336</v>
      </c>
      <c r="G6" s="728">
        <f>중복신고!H38</f>
        <v>30.1</v>
      </c>
      <c r="H6" s="554">
        <f>중복신고!H45</f>
        <v>48</v>
      </c>
      <c r="I6" s="554">
        <f>중복신고!H52</f>
        <v>12.4</v>
      </c>
      <c r="J6" s="516"/>
      <c r="K6" s="2"/>
    </row>
    <row r="7" spans="1:12" ht="42" customHeight="1">
      <c r="B7" s="334" t="str">
        <f>신용도!B7</f>
        <v>＊＊엔지니어링</v>
      </c>
      <c r="C7" s="341" t="s">
        <v>309</v>
      </c>
      <c r="D7" s="342">
        <f t="shared" ref="D7:I7" si="0">D6/$J$2</f>
        <v>0.18888888888888888</v>
      </c>
      <c r="E7" s="548">
        <f t="shared" si="0"/>
        <v>0.87638888888888899</v>
      </c>
      <c r="F7" s="549">
        <f t="shared" si="0"/>
        <v>1.4305555555555556</v>
      </c>
      <c r="G7" s="549">
        <f t="shared" si="0"/>
        <v>1.2541666666666667</v>
      </c>
      <c r="H7" s="549">
        <f t="shared" si="0"/>
        <v>2</v>
      </c>
      <c r="I7" s="549">
        <f t="shared" si="0"/>
        <v>0.51666666666666672</v>
      </c>
      <c r="J7" s="412"/>
      <c r="K7" s="2"/>
    </row>
    <row r="8" spans="1:12" ht="42" customHeight="1" thickBot="1">
      <c r="B8" s="550" t="str">
        <f>신용도!B8</f>
        <v>☆☆엔지니어링</v>
      </c>
      <c r="C8" s="551" t="s">
        <v>311</v>
      </c>
      <c r="D8" s="552">
        <f>IF(D7&lt;$D$10,$D$11,IF(D7&lt;$E$10,$E$11,IF(D7&lt;F10,F11,IF(D7&lt;G10,G11,IF(D7&gt;=H10,H11)))))</f>
        <v>4</v>
      </c>
      <c r="E8" s="572">
        <f>IF(E7&lt;$D$10,$D$12,IF(E7&lt;$E$10,$E$12,IF(E7&lt;$F$10,$F$12,IF(E7&lt;$G$10,$G$12,IF(E7&gt;=$H$10,$H$12)))))*배점기준!D3</f>
        <v>1.7999999999999998</v>
      </c>
      <c r="F8" s="573">
        <f>IF(F7&lt;$D$10,$D$12,IF(F7&lt;$E$10,$E$12,IF(F7&lt;$F$10,$F$12,IF(F7&lt;$G$10,$G$12,IF(F7&gt;=$H$10,$H$12)))))*배점기준!D4</f>
        <v>0.54</v>
      </c>
      <c r="G8" s="573">
        <f>IF(G7&lt;$D$10,$D$12,IF(G7&lt;$E$10,$E$12,IF(G7&lt;$F$10,$F$12,IF(G7&lt;$G$10,$G$12,IF(G7&gt;=$H$10,$H$12)))))*배점기준!D5</f>
        <v>1.35</v>
      </c>
      <c r="H8" s="573">
        <f>IF(H7&lt;$D$10,$D$12,IF(H7&lt;$E$10,$E$12,IF(H7&lt;$F$10,$F$12,IF(H7&lt;$G$10,$G$12,IF(H7&gt;=$H$10,$H$12)))))*배점기준!D6</f>
        <v>0.48000000000000009</v>
      </c>
      <c r="I8" s="573">
        <f>IF(I7&lt;$D$10,$D$12,IF(I7&lt;$E$10,$E$12,IF(I7&lt;$F$10,$F$12,IF(I7&lt;$G$10,$G$12,IF(I7&gt;=$H$10,$H$12)))))*배점기준!D7</f>
        <v>1.5</v>
      </c>
      <c r="J8" s="518">
        <f>SUM(E8:I8)</f>
        <v>5.67</v>
      </c>
      <c r="K8" s="2"/>
    </row>
    <row r="9" spans="1:12" ht="22.5" customHeight="1" thickBot="1">
      <c r="B9" s="319"/>
      <c r="C9" s="335"/>
      <c r="D9" s="338"/>
      <c r="E9" s="336"/>
      <c r="F9" s="336"/>
      <c r="G9" s="336"/>
      <c r="H9" s="336"/>
      <c r="I9" s="336"/>
      <c r="J9" s="339"/>
      <c r="K9" s="2"/>
    </row>
    <row r="10" spans="1:12" ht="26.25" customHeight="1">
      <c r="B10" s="1121" t="s">
        <v>313</v>
      </c>
      <c r="C10" s="343" t="s">
        <v>312</v>
      </c>
      <c r="D10" s="790">
        <v>1</v>
      </c>
      <c r="E10" s="790">
        <v>1.6</v>
      </c>
      <c r="F10" s="790">
        <v>2.2000000000000002</v>
      </c>
      <c r="G10" s="790">
        <v>2.8</v>
      </c>
      <c r="H10" s="791">
        <v>2.8</v>
      </c>
      <c r="I10" s="555"/>
      <c r="J10" s="337"/>
      <c r="K10" s="2"/>
    </row>
    <row r="11" spans="1:12" ht="26.25" customHeight="1">
      <c r="B11" s="1122"/>
      <c r="C11" s="283" t="s">
        <v>307</v>
      </c>
      <c r="D11" s="345">
        <f>배점기준!C101</f>
        <v>4</v>
      </c>
      <c r="E11" s="345">
        <f>$D$11*0.9</f>
        <v>3.6</v>
      </c>
      <c r="F11" s="345">
        <f>$D$11*0.8</f>
        <v>3.2</v>
      </c>
      <c r="G11" s="345">
        <f>$D$11*0.7</f>
        <v>2.8</v>
      </c>
      <c r="H11" s="346">
        <f>$D$11*0.6</f>
        <v>2.4</v>
      </c>
      <c r="I11" s="556"/>
      <c r="J11" s="337"/>
      <c r="K11" s="2"/>
    </row>
    <row r="12" spans="1:12" ht="26.25" customHeight="1" thickBot="1">
      <c r="B12" s="1123"/>
      <c r="C12" s="344" t="s">
        <v>310</v>
      </c>
      <c r="D12" s="347">
        <f>배점기준!C102</f>
        <v>6</v>
      </c>
      <c r="E12" s="347">
        <f>$D$12*0.9</f>
        <v>5.4</v>
      </c>
      <c r="F12" s="347">
        <f>$D$12*0.8</f>
        <v>4.8000000000000007</v>
      </c>
      <c r="G12" s="347">
        <f>$D$12*0.7</f>
        <v>4.1999999999999993</v>
      </c>
      <c r="H12" s="348">
        <f>$D$12*0.6</f>
        <v>3.5999999999999996</v>
      </c>
      <c r="I12" s="556"/>
      <c r="J12" s="337"/>
      <c r="K12" s="2"/>
      <c r="L12" s="534"/>
    </row>
    <row r="13" spans="1:12" ht="9.75" customHeight="1">
      <c r="B13" s="175"/>
      <c r="C13" s="173"/>
      <c r="D13" s="174"/>
      <c r="E13" s="174"/>
      <c r="F13" s="174"/>
      <c r="G13" s="174"/>
      <c r="H13" s="174"/>
      <c r="I13" s="174"/>
      <c r="J13" s="174"/>
      <c r="K13" s="112"/>
      <c r="L13" s="534"/>
    </row>
    <row r="14" spans="1:12" s="247" customFormat="1" ht="15.95" customHeight="1">
      <c r="A14" s="159" t="s">
        <v>242</v>
      </c>
      <c r="B14" s="160" t="s">
        <v>262</v>
      </c>
      <c r="C14" s="254"/>
      <c r="D14" s="246"/>
      <c r="E14" s="246"/>
      <c r="F14" s="246"/>
      <c r="G14" s="246"/>
      <c r="H14" s="246"/>
      <c r="I14" s="246"/>
      <c r="J14" s="246"/>
      <c r="K14" s="246"/>
    </row>
    <row r="15" spans="1:12" s="247" customFormat="1" ht="15.95" customHeight="1">
      <c r="A15" s="249" t="s">
        <v>440</v>
      </c>
      <c r="B15" s="160" t="s">
        <v>441</v>
      </c>
      <c r="C15" s="254"/>
      <c r="D15" s="246"/>
      <c r="E15" s="246"/>
      <c r="F15" s="246"/>
      <c r="G15" s="246"/>
      <c r="H15" s="246"/>
      <c r="I15" s="246"/>
      <c r="J15" s="246"/>
      <c r="K15" s="246"/>
    </row>
    <row r="16" spans="1:12" s="247" customFormat="1" ht="15.95" customHeight="1">
      <c r="A16" s="249" t="s">
        <v>442</v>
      </c>
      <c r="B16" s="160" t="s">
        <v>263</v>
      </c>
      <c r="C16" s="254"/>
      <c r="D16" s="246"/>
      <c r="E16" s="246"/>
      <c r="F16" s="246"/>
      <c r="G16" s="246"/>
      <c r="H16" s="246"/>
      <c r="I16" s="246"/>
      <c r="J16" s="246"/>
      <c r="K16" s="246"/>
    </row>
    <row r="17" spans="1:15" s="247" customFormat="1" ht="15.95" customHeight="1">
      <c r="A17" s="249" t="s">
        <v>443</v>
      </c>
      <c r="B17" s="160" t="s">
        <v>264</v>
      </c>
      <c r="C17" s="254"/>
      <c r="D17" s="246"/>
      <c r="E17" s="246"/>
      <c r="F17" s="246"/>
      <c r="G17" s="246"/>
      <c r="H17" s="246"/>
      <c r="I17" s="246"/>
      <c r="J17" s="246"/>
      <c r="K17" s="246"/>
    </row>
    <row r="18" spans="1:15" ht="15.95" customHeight="1">
      <c r="A18" s="174"/>
      <c r="B18" s="174"/>
    </row>
    <row r="23" spans="1:15" ht="15.95" customHeight="1">
      <c r="O23" s="566"/>
    </row>
  </sheetData>
  <mergeCells count="3">
    <mergeCell ref="B4:B5"/>
    <mergeCell ref="C4:J4"/>
    <mergeCell ref="B10:B12"/>
  </mergeCells>
  <phoneticPr fontId="2" type="noConversion"/>
  <pageMargins left="0.74803149606299213" right="0.74803149606299213" top="1.3" bottom="0.98425196850393704" header="0.51181102362204722" footer="0.51181102362204722"/>
  <pageSetup paperSize="9" orientation="landscape" horizontalDpi="4294967293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>
  <sheetPr codeName="Sheet11" enableFormatConditionsCalculation="0">
    <tabColor indexed="41"/>
  </sheetPr>
  <dimension ref="A1:U74"/>
  <sheetViews>
    <sheetView view="pageBreakPreview" zoomScaleNormal="70" zoomScaleSheetLayoutView="100" workbookViewId="0">
      <selection activeCell="H9" sqref="H9"/>
    </sheetView>
  </sheetViews>
  <sheetFormatPr defaultRowHeight="15.95" customHeight="1"/>
  <cols>
    <col min="1" max="1" width="1.33203125" style="2" customWidth="1"/>
    <col min="2" max="2" width="4.33203125" style="24" customWidth="1"/>
    <col min="3" max="3" width="33.5546875" style="87" customWidth="1"/>
    <col min="4" max="4" width="12.44140625" style="87" customWidth="1"/>
    <col min="5" max="5" width="12.44140625" style="24" customWidth="1"/>
    <col min="6" max="6" width="8.77734375" style="238" customWidth="1"/>
    <col min="7" max="7" width="8.77734375" style="94" customWidth="1"/>
    <col min="8" max="8" width="12.109375" style="94" customWidth="1"/>
    <col min="9" max="9" width="10.77734375" style="94" customWidth="1"/>
    <col min="10" max="10" width="15.77734375" style="94" customWidth="1"/>
    <col min="11" max="11" width="14.88671875" style="94" customWidth="1"/>
    <col min="12" max="14" width="8.44140625" style="24" customWidth="1"/>
    <col min="15" max="17" width="7.109375" style="24" customWidth="1"/>
    <col min="18" max="20" width="7.109375" style="2" customWidth="1"/>
    <col min="21" max="24" width="6" style="2" customWidth="1"/>
    <col min="25" max="25" width="5.44140625" style="2" customWidth="1"/>
    <col min="26" max="26" width="7" style="2" customWidth="1"/>
    <col min="27" max="16384" width="8.88671875" style="2"/>
  </cols>
  <sheetData>
    <row r="1" spans="1:21" s="8" customFormat="1" ht="28.5" customHeight="1">
      <c r="A1" s="610" t="s">
        <v>838</v>
      </c>
      <c r="B1" s="611"/>
      <c r="C1" s="612"/>
      <c r="D1" s="612"/>
      <c r="E1" s="79"/>
      <c r="F1" s="234"/>
      <c r="G1" s="178"/>
      <c r="H1" s="178"/>
      <c r="I1" s="178"/>
      <c r="J1" s="178"/>
      <c r="K1" s="224" t="s">
        <v>669</v>
      </c>
      <c r="L1" s="79"/>
      <c r="M1" s="79"/>
      <c r="N1" s="79"/>
      <c r="O1" s="79"/>
      <c r="P1" s="79"/>
      <c r="Q1" s="79"/>
    </row>
    <row r="2" spans="1:21" s="8" customFormat="1" ht="23.25" customHeight="1">
      <c r="A2" s="610"/>
      <c r="B2" s="1140" t="s">
        <v>625</v>
      </c>
      <c r="C2" s="1140"/>
      <c r="D2" s="611"/>
      <c r="E2" s="234"/>
      <c r="F2" s="178"/>
      <c r="G2" s="178"/>
      <c r="H2" s="234"/>
      <c r="I2" s="178"/>
      <c r="J2" s="178"/>
      <c r="K2" s="579">
        <v>42234</v>
      </c>
      <c r="L2" s="79"/>
      <c r="M2" s="79"/>
      <c r="N2" s="79"/>
      <c r="O2" s="79"/>
      <c r="P2" s="79"/>
    </row>
    <row r="3" spans="1:21" s="8" customFormat="1" ht="8.25" customHeight="1">
      <c r="A3" s="610"/>
      <c r="B3" s="611"/>
      <c r="C3" s="612"/>
      <c r="D3" s="612"/>
      <c r="E3" s="79"/>
      <c r="F3" s="234"/>
      <c r="G3" s="178"/>
      <c r="H3" s="178"/>
      <c r="I3" s="178"/>
      <c r="J3" s="178"/>
      <c r="K3" s="178"/>
      <c r="L3" s="79"/>
      <c r="M3" s="79"/>
      <c r="N3" s="79"/>
      <c r="O3" s="79"/>
      <c r="P3" s="79"/>
      <c r="Q3" s="79"/>
    </row>
    <row r="4" spans="1:21" s="212" customFormat="1" ht="20.25" customHeight="1">
      <c r="B4" s="331" t="s">
        <v>811</v>
      </c>
      <c r="C4" s="332"/>
      <c r="D4" s="332"/>
      <c r="E4" s="332"/>
      <c r="F4" s="332"/>
      <c r="G4" s="214"/>
      <c r="H4" s="214"/>
      <c r="I4" s="214"/>
      <c r="J4" s="214"/>
      <c r="K4" s="214"/>
      <c r="L4" s="213"/>
      <c r="M4" s="213"/>
      <c r="N4" s="215"/>
      <c r="O4" s="213"/>
      <c r="P4" s="213"/>
      <c r="Q4" s="213"/>
      <c r="R4" s="216"/>
      <c r="S4" s="216"/>
      <c r="T4" s="216"/>
      <c r="U4" s="216"/>
    </row>
    <row r="5" spans="1:21" s="212" customFormat="1" ht="24.75" customHeight="1">
      <c r="B5" s="1128" t="s">
        <v>236</v>
      </c>
      <c r="C5" s="1130" t="s">
        <v>60</v>
      </c>
      <c r="D5" s="1133" t="s">
        <v>77</v>
      </c>
      <c r="E5" s="1134"/>
      <c r="F5" s="1137" t="s">
        <v>299</v>
      </c>
      <c r="G5" s="1128" t="s">
        <v>83</v>
      </c>
      <c r="H5" s="1128" t="s">
        <v>300</v>
      </c>
      <c r="I5" s="1128" t="s">
        <v>78</v>
      </c>
      <c r="J5" s="1128" t="s">
        <v>79</v>
      </c>
      <c r="K5" s="1128" t="s">
        <v>837</v>
      </c>
      <c r="L5" s="213"/>
      <c r="M5" s="213"/>
      <c r="N5" s="215"/>
      <c r="O5" s="213"/>
      <c r="P5" s="213"/>
      <c r="Q5" s="213"/>
      <c r="R5" s="216"/>
      <c r="S5" s="216"/>
      <c r="T5" s="216"/>
      <c r="U5" s="216"/>
    </row>
    <row r="6" spans="1:21" s="212" customFormat="1" ht="24.75" customHeight="1">
      <c r="B6" s="1129"/>
      <c r="C6" s="1131"/>
      <c r="D6" s="176" t="s">
        <v>80</v>
      </c>
      <c r="E6" s="217" t="s">
        <v>81</v>
      </c>
      <c r="F6" s="1138"/>
      <c r="G6" s="1129"/>
      <c r="H6" s="1129"/>
      <c r="I6" s="1129"/>
      <c r="J6" s="1129"/>
      <c r="K6" s="1129"/>
      <c r="L6" s="213"/>
      <c r="M6" s="213"/>
      <c r="N6" s="215"/>
      <c r="O6" s="213"/>
      <c r="P6" s="213"/>
      <c r="Q6" s="213"/>
      <c r="R6" s="216"/>
      <c r="S6" s="216"/>
      <c r="T6" s="216"/>
      <c r="U6" s="216"/>
    </row>
    <row r="7" spans="1:21" s="212" customFormat="1" ht="62.1" customHeight="1">
      <c r="B7" s="219">
        <v>1</v>
      </c>
      <c r="C7" s="537" t="s">
        <v>814</v>
      </c>
      <c r="D7" s="218">
        <v>41599</v>
      </c>
      <c r="E7" s="218">
        <v>42236</v>
      </c>
      <c r="F7" s="333">
        <f>E7-D7+1</f>
        <v>638</v>
      </c>
      <c r="G7" s="239">
        <v>395</v>
      </c>
      <c r="H7" s="333">
        <f>IF((E7-$K$2+1)&gt;=(중복도!$J$2*30),(중복도!$J$2*30),IF((E7-$K$2+1)&lt;30,0,(E7-$K$2+1)))</f>
        <v>0</v>
      </c>
      <c r="I7" s="220"/>
      <c r="J7" s="220"/>
      <c r="K7" s="220"/>
      <c r="L7" s="213"/>
      <c r="M7" s="213"/>
      <c r="N7" s="215"/>
      <c r="O7" s="213"/>
      <c r="P7" s="213"/>
      <c r="Q7" s="213"/>
      <c r="R7" s="216"/>
      <c r="S7" s="216"/>
      <c r="T7" s="216"/>
      <c r="U7" s="216"/>
    </row>
    <row r="8" spans="1:21" s="212" customFormat="1" ht="62.1" customHeight="1">
      <c r="B8" s="219">
        <v>2</v>
      </c>
      <c r="C8" s="537" t="s">
        <v>814</v>
      </c>
      <c r="D8" s="218">
        <v>41821</v>
      </c>
      <c r="E8" s="218">
        <v>42369</v>
      </c>
      <c r="F8" s="333">
        <f>E8-D8+1</f>
        <v>549</v>
      </c>
      <c r="G8" s="239">
        <v>487</v>
      </c>
      <c r="H8" s="333">
        <f>IF((E8-$K$2+1)&gt;=(중복도!$J$2*30),(중복도!$J$2*30),IF((E8-$K$2+1)&lt;30,0,(E8-$K$2+1)))</f>
        <v>136</v>
      </c>
      <c r="I8" s="220"/>
      <c r="J8" s="220"/>
      <c r="K8" s="220"/>
      <c r="L8" s="213"/>
      <c r="M8" s="213"/>
      <c r="N8" s="215"/>
      <c r="O8" s="213"/>
      <c r="P8" s="213"/>
      <c r="Q8" s="213"/>
      <c r="R8" s="216"/>
      <c r="S8" s="216"/>
      <c r="T8" s="216"/>
      <c r="U8" s="216"/>
    </row>
    <row r="9" spans="1:21" s="212" customFormat="1" ht="32.25" customHeight="1">
      <c r="B9" s="1125" t="s">
        <v>82</v>
      </c>
      <c r="C9" s="1126"/>
      <c r="D9" s="222"/>
      <c r="E9" s="223"/>
      <c r="F9" s="236"/>
      <c r="G9" s="240"/>
      <c r="H9" s="726">
        <f>SUM(H7:H8)/30</f>
        <v>4.5333333333333332</v>
      </c>
      <c r="I9" s="118"/>
      <c r="J9" s="224"/>
      <c r="K9" s="553"/>
      <c r="L9" s="213"/>
      <c r="M9" s="213"/>
      <c r="N9" s="215"/>
      <c r="O9" s="213"/>
      <c r="P9" s="213"/>
      <c r="Q9" s="213"/>
      <c r="R9" s="216"/>
      <c r="S9" s="216"/>
      <c r="T9" s="216"/>
      <c r="U9" s="216"/>
    </row>
    <row r="10" spans="1:21" s="212" customFormat="1" ht="18" customHeight="1">
      <c r="B10" s="225"/>
      <c r="C10" s="226"/>
      <c r="D10" s="227"/>
      <c r="E10" s="228"/>
      <c r="F10" s="229"/>
      <c r="G10" s="241"/>
      <c r="H10" s="241"/>
      <c r="I10" s="225"/>
      <c r="J10" s="225"/>
      <c r="K10" s="225"/>
      <c r="L10" s="213"/>
      <c r="M10" s="213"/>
      <c r="N10" s="215"/>
      <c r="O10" s="213"/>
      <c r="P10" s="213"/>
      <c r="Q10" s="213"/>
      <c r="R10" s="216"/>
      <c r="S10" s="216"/>
      <c r="T10" s="216"/>
      <c r="U10" s="216"/>
    </row>
    <row r="11" spans="1:21" s="212" customFormat="1" ht="27.75" customHeight="1">
      <c r="B11" s="1139" t="s">
        <v>626</v>
      </c>
      <c r="C11" s="1139"/>
      <c r="D11" s="228"/>
      <c r="E11" s="229"/>
      <c r="F11" s="241"/>
      <c r="G11" s="241"/>
      <c r="H11" s="229"/>
      <c r="I11" s="225"/>
      <c r="J11" s="225"/>
      <c r="K11" s="213"/>
      <c r="L11" s="213"/>
      <c r="M11" s="215"/>
      <c r="N11" s="213"/>
      <c r="O11" s="213"/>
      <c r="P11" s="213"/>
      <c r="Q11" s="216"/>
      <c r="R11" s="216"/>
      <c r="S11" s="216"/>
      <c r="T11" s="216"/>
    </row>
    <row r="12" spans="1:21" s="212" customFormat="1" ht="6.75" customHeight="1">
      <c r="B12" s="225"/>
      <c r="C12" s="227"/>
      <c r="D12" s="227"/>
      <c r="E12" s="228"/>
      <c r="F12" s="229"/>
      <c r="G12" s="241"/>
      <c r="H12" s="241"/>
      <c r="I12" s="225"/>
      <c r="J12" s="225"/>
      <c r="K12" s="225"/>
      <c r="L12" s="213"/>
      <c r="M12" s="213"/>
      <c r="N12" s="215"/>
      <c r="O12" s="213"/>
      <c r="P12" s="213"/>
      <c r="Q12" s="213"/>
      <c r="R12" s="216"/>
      <c r="S12" s="216"/>
      <c r="T12" s="216"/>
      <c r="U12" s="216"/>
    </row>
    <row r="13" spans="1:21" s="212" customFormat="1" ht="24.75" customHeight="1">
      <c r="B13" s="331" t="s">
        <v>812</v>
      </c>
      <c r="C13" s="332"/>
      <c r="D13" s="332"/>
      <c r="E13" s="332"/>
      <c r="F13" s="235"/>
      <c r="G13" s="214"/>
      <c r="H13" s="214"/>
      <c r="I13" s="214"/>
      <c r="J13" s="214"/>
      <c r="K13" s="214"/>
      <c r="L13" s="213"/>
      <c r="M13" s="213"/>
      <c r="N13" s="215"/>
      <c r="O13" s="213"/>
      <c r="P13" s="213"/>
      <c r="Q13" s="213"/>
      <c r="R13" s="216"/>
      <c r="S13" s="216"/>
      <c r="T13" s="216"/>
      <c r="U13" s="216"/>
    </row>
    <row r="14" spans="1:21" s="212" customFormat="1" ht="24" customHeight="1">
      <c r="B14" s="1128" t="s">
        <v>236</v>
      </c>
      <c r="C14" s="1130" t="s">
        <v>60</v>
      </c>
      <c r="D14" s="1133" t="s">
        <v>77</v>
      </c>
      <c r="E14" s="1134"/>
      <c r="F14" s="1137" t="s">
        <v>299</v>
      </c>
      <c r="G14" s="1128" t="s">
        <v>83</v>
      </c>
      <c r="H14" s="1128" t="s">
        <v>300</v>
      </c>
      <c r="I14" s="1128" t="s">
        <v>78</v>
      </c>
      <c r="J14" s="1128" t="s">
        <v>79</v>
      </c>
      <c r="K14" s="1128" t="s">
        <v>837</v>
      </c>
      <c r="L14" s="213"/>
      <c r="M14" s="213"/>
      <c r="N14" s="215"/>
      <c r="O14" s="213"/>
      <c r="P14" s="213"/>
      <c r="Q14" s="213"/>
      <c r="R14" s="216"/>
      <c r="S14" s="216"/>
      <c r="T14" s="216"/>
      <c r="U14" s="216"/>
    </row>
    <row r="15" spans="1:21" s="212" customFormat="1" ht="24" customHeight="1">
      <c r="B15" s="1129"/>
      <c r="C15" s="1131"/>
      <c r="D15" s="176" t="s">
        <v>80</v>
      </c>
      <c r="E15" s="217" t="s">
        <v>81</v>
      </c>
      <c r="F15" s="1138"/>
      <c r="G15" s="1129"/>
      <c r="H15" s="1129"/>
      <c r="I15" s="1129"/>
      <c r="J15" s="1129"/>
      <c r="K15" s="1129"/>
      <c r="L15" s="213"/>
      <c r="M15" s="213"/>
      <c r="N15" s="215"/>
      <c r="O15" s="213"/>
      <c r="P15" s="213"/>
      <c r="Q15" s="213"/>
      <c r="R15" s="216"/>
      <c r="S15" s="216"/>
      <c r="T15" s="216"/>
      <c r="U15" s="216"/>
    </row>
    <row r="16" spans="1:21" s="212" customFormat="1" ht="42" customHeight="1">
      <c r="B16" s="219">
        <v>1</v>
      </c>
      <c r="C16" s="192" t="s">
        <v>815</v>
      </c>
      <c r="D16" s="218">
        <v>42153</v>
      </c>
      <c r="E16" s="218">
        <v>42523</v>
      </c>
      <c r="F16" s="333">
        <f>E16-D16+1</f>
        <v>371</v>
      </c>
      <c r="G16" s="239">
        <v>880</v>
      </c>
      <c r="H16" s="333">
        <f>IF((E16-$K$2+1)&gt;=(중복도!$J$2*30),(중복도!$J$2*30),IF((E16-$K$2+1)&lt;30,0,(E16-$K$2+1)))</f>
        <v>290</v>
      </c>
      <c r="I16" s="220"/>
      <c r="J16" s="220"/>
      <c r="K16" s="220"/>
      <c r="L16" s="213"/>
      <c r="M16" s="215"/>
      <c r="N16" s="213"/>
      <c r="O16" s="213"/>
      <c r="P16" s="213"/>
      <c r="Q16" s="216"/>
      <c r="R16" s="216"/>
      <c r="S16" s="216"/>
      <c r="T16" s="216"/>
    </row>
    <row r="17" spans="2:21" s="212" customFormat="1" ht="42" customHeight="1">
      <c r="B17" s="219">
        <v>2</v>
      </c>
      <c r="C17" s="192" t="s">
        <v>815</v>
      </c>
      <c r="D17" s="218">
        <v>42118</v>
      </c>
      <c r="E17" s="218">
        <v>42574</v>
      </c>
      <c r="F17" s="333">
        <f>E17-D17+1</f>
        <v>457</v>
      </c>
      <c r="G17" s="239">
        <v>440</v>
      </c>
      <c r="H17" s="333">
        <f>IF((E17-$K$2+1)&gt;=(중복도!$J$2*30),(중복도!$J$2*30),IF((E17-$K$2+1)&lt;30,0,(E17-$K$2+1)))</f>
        <v>341</v>
      </c>
      <c r="I17" s="218"/>
      <c r="J17" s="221"/>
      <c r="K17" s="220"/>
      <c r="L17" s="213"/>
      <c r="M17" s="215"/>
      <c r="N17" s="213"/>
      <c r="O17" s="213"/>
      <c r="P17" s="213"/>
      <c r="Q17" s="216"/>
      <c r="R17" s="216"/>
      <c r="S17" s="216"/>
      <c r="T17" s="216"/>
    </row>
    <row r="18" spans="2:21" s="212" customFormat="1" ht="30.75" customHeight="1">
      <c r="B18" s="1125" t="s">
        <v>82</v>
      </c>
      <c r="C18" s="1126"/>
      <c r="D18" s="222"/>
      <c r="E18" s="223"/>
      <c r="F18" s="236"/>
      <c r="G18" s="240"/>
      <c r="H18" s="726">
        <f>SUM(H16:H17)/30</f>
        <v>21.033333333333335</v>
      </c>
      <c r="I18" s="118"/>
      <c r="J18" s="224"/>
      <c r="K18" s="553"/>
      <c r="L18" s="213"/>
      <c r="M18" s="213"/>
      <c r="N18" s="215"/>
      <c r="O18" s="213"/>
      <c r="P18" s="213"/>
      <c r="Q18" s="213"/>
      <c r="R18" s="216"/>
      <c r="S18" s="216"/>
      <c r="T18" s="216"/>
      <c r="U18" s="216"/>
    </row>
    <row r="19" spans="2:21" s="212" customFormat="1" ht="24.75" customHeight="1">
      <c r="B19" s="331" t="s">
        <v>813</v>
      </c>
      <c r="C19" s="332"/>
      <c r="D19" s="332"/>
      <c r="E19" s="332"/>
      <c r="F19" s="235"/>
      <c r="G19" s="214"/>
      <c r="H19" s="214"/>
      <c r="I19" s="214"/>
      <c r="J19" s="214"/>
      <c r="K19" s="214"/>
      <c r="L19" s="213"/>
      <c r="M19" s="213"/>
      <c r="N19" s="215"/>
      <c r="O19" s="213"/>
      <c r="P19" s="213"/>
      <c r="Q19" s="213"/>
      <c r="R19" s="216"/>
      <c r="S19" s="216"/>
      <c r="T19" s="216"/>
      <c r="U19" s="216"/>
    </row>
    <row r="20" spans="2:21" s="212" customFormat="1" ht="24" customHeight="1">
      <c r="B20" s="1128" t="s">
        <v>34</v>
      </c>
      <c r="C20" s="1130" t="s">
        <v>35</v>
      </c>
      <c r="D20" s="1133" t="s">
        <v>77</v>
      </c>
      <c r="E20" s="1134"/>
      <c r="F20" s="1137" t="s">
        <v>299</v>
      </c>
      <c r="G20" s="1128" t="s">
        <v>83</v>
      </c>
      <c r="H20" s="1128" t="s">
        <v>300</v>
      </c>
      <c r="I20" s="1128" t="s">
        <v>78</v>
      </c>
      <c r="J20" s="1128" t="s">
        <v>79</v>
      </c>
      <c r="K20" s="1128" t="s">
        <v>837</v>
      </c>
      <c r="L20" s="213"/>
      <c r="M20" s="213"/>
      <c r="N20" s="215"/>
      <c r="O20" s="213"/>
      <c r="P20" s="213"/>
      <c r="Q20" s="213"/>
      <c r="R20" s="216"/>
      <c r="S20" s="216"/>
      <c r="T20" s="216"/>
      <c r="U20" s="216"/>
    </row>
    <row r="21" spans="2:21" s="212" customFormat="1" ht="24" customHeight="1">
      <c r="B21" s="1129"/>
      <c r="C21" s="1131"/>
      <c r="D21" s="176" t="s">
        <v>80</v>
      </c>
      <c r="E21" s="217" t="s">
        <v>81</v>
      </c>
      <c r="F21" s="1138"/>
      <c r="G21" s="1129"/>
      <c r="H21" s="1129"/>
      <c r="I21" s="1129"/>
      <c r="J21" s="1129"/>
      <c r="K21" s="1129"/>
      <c r="L21" s="213"/>
      <c r="M21" s="213"/>
      <c r="N21" s="215"/>
      <c r="O21" s="213"/>
      <c r="P21" s="213"/>
      <c r="Q21" s="213"/>
      <c r="R21" s="216"/>
      <c r="S21" s="216"/>
      <c r="T21" s="216"/>
      <c r="U21" s="216"/>
    </row>
    <row r="22" spans="2:21" s="212" customFormat="1" ht="42" customHeight="1">
      <c r="B22" s="219">
        <v>1</v>
      </c>
      <c r="C22" s="192" t="s">
        <v>815</v>
      </c>
      <c r="D22" s="724">
        <v>41459</v>
      </c>
      <c r="E22" s="724">
        <v>42326</v>
      </c>
      <c r="F22" s="333">
        <f>E22-D22+1</f>
        <v>868</v>
      </c>
      <c r="G22" s="239">
        <v>991</v>
      </c>
      <c r="H22" s="333">
        <f>IF((E22-$K$2+1)&gt;=(중복도!$J$2*30),(중복도!$J$2*30),IF((E22-$K$2+1)&lt;30,0,(E22-$K$2+1)))</f>
        <v>93</v>
      </c>
      <c r="I22" s="220"/>
      <c r="J22" s="220"/>
      <c r="K22" s="220"/>
      <c r="L22" s="213"/>
      <c r="M22" s="213"/>
      <c r="N22" s="215"/>
      <c r="O22" s="213"/>
      <c r="P22" s="213"/>
      <c r="Q22" s="213"/>
      <c r="R22" s="216"/>
      <c r="S22" s="216"/>
      <c r="T22" s="216"/>
      <c r="U22" s="216"/>
    </row>
    <row r="23" spans="2:21" s="212" customFormat="1" ht="42" customHeight="1">
      <c r="B23" s="219">
        <v>2</v>
      </c>
      <c r="C23" s="192" t="s">
        <v>815</v>
      </c>
      <c r="D23" s="724">
        <v>41827</v>
      </c>
      <c r="E23" s="724">
        <v>42546</v>
      </c>
      <c r="F23" s="333">
        <f>E23-D23+1</f>
        <v>720</v>
      </c>
      <c r="G23" s="239">
        <v>602</v>
      </c>
      <c r="H23" s="333">
        <f>IF((E23-$K$2+1)&gt;=(중복도!$J$2*30),(중복도!$J$2*30),IF((E23-$K$2+1)&lt;30,0,(E23-$K$2+1)))</f>
        <v>313</v>
      </c>
      <c r="I23" s="220"/>
      <c r="J23" s="220"/>
      <c r="K23" s="220"/>
      <c r="L23" s="213"/>
      <c r="M23" s="213"/>
      <c r="N23" s="215"/>
      <c r="O23" s="213"/>
      <c r="P23" s="213"/>
      <c r="Q23" s="213"/>
      <c r="R23" s="216"/>
      <c r="S23" s="216"/>
      <c r="T23" s="216"/>
      <c r="U23" s="216"/>
    </row>
    <row r="24" spans="2:21" s="212" customFormat="1" ht="42" customHeight="1">
      <c r="B24" s="219">
        <v>3</v>
      </c>
      <c r="C24" s="192" t="s">
        <v>815</v>
      </c>
      <c r="D24" s="724">
        <v>41946</v>
      </c>
      <c r="E24" s="724">
        <v>42575</v>
      </c>
      <c r="F24" s="333">
        <f>E24-D24+1</f>
        <v>630</v>
      </c>
      <c r="G24" s="239">
        <v>807</v>
      </c>
      <c r="H24" s="333">
        <f>IF((E24-$K$2+1)&gt;=(중복도!$J$2*30),(중복도!$J$2*30),IF((E24-$K$2+1)&lt;30,0,(E24-$K$2+1)))</f>
        <v>342</v>
      </c>
      <c r="I24" s="220"/>
      <c r="J24" s="220"/>
      <c r="K24" s="220"/>
      <c r="L24" s="213"/>
      <c r="M24" s="213"/>
      <c r="N24" s="215"/>
      <c r="O24" s="213"/>
      <c r="P24" s="213"/>
      <c r="Q24" s="213"/>
      <c r="R24" s="216"/>
      <c r="S24" s="216"/>
      <c r="T24" s="216"/>
      <c r="U24" s="216"/>
    </row>
    <row r="25" spans="2:21" s="212" customFormat="1" ht="42" customHeight="1">
      <c r="B25" s="725">
        <v>4</v>
      </c>
      <c r="C25" s="192" t="s">
        <v>815</v>
      </c>
      <c r="D25" s="724">
        <v>42216</v>
      </c>
      <c r="E25" s="724">
        <v>42515</v>
      </c>
      <c r="F25" s="333">
        <f>E25-D25+1</f>
        <v>300</v>
      </c>
      <c r="G25" s="239">
        <v>481</v>
      </c>
      <c r="H25" s="333">
        <f>IF((E25-$K$2+1)&gt;=(중복도!$J$2*30),(중복도!$J$2*30),IF((E25-$K$2+1)&lt;30,0,(E25-$K$2+1)))</f>
        <v>282</v>
      </c>
      <c r="I25" s="218"/>
      <c r="J25" s="221"/>
      <c r="K25" s="220"/>
      <c r="L25" s="213"/>
      <c r="M25" s="213"/>
      <c r="N25" s="215"/>
      <c r="O25" s="213"/>
      <c r="P25" s="213"/>
      <c r="Q25" s="213"/>
      <c r="R25" s="216"/>
      <c r="S25" s="216"/>
      <c r="T25" s="216"/>
      <c r="U25" s="216"/>
    </row>
    <row r="26" spans="2:21" s="212" customFormat="1" ht="30.75" customHeight="1">
      <c r="B26" s="1125" t="s">
        <v>82</v>
      </c>
      <c r="C26" s="1126"/>
      <c r="D26" s="222"/>
      <c r="E26" s="223"/>
      <c r="F26" s="236"/>
      <c r="G26" s="240"/>
      <c r="H26" s="726">
        <f>SUM(H22:H25)/30</f>
        <v>34.333333333333336</v>
      </c>
      <c r="I26" s="118"/>
      <c r="J26" s="224"/>
      <c r="K26" s="553"/>
      <c r="L26" s="213"/>
      <c r="M26" s="213"/>
      <c r="N26" s="215"/>
      <c r="O26" s="213"/>
      <c r="P26" s="213"/>
      <c r="Q26" s="213"/>
      <c r="R26" s="216"/>
      <c r="S26" s="216"/>
      <c r="T26" s="216"/>
      <c r="U26" s="216"/>
    </row>
    <row r="27" spans="2:21" s="212" customFormat="1" ht="8.25" customHeight="1">
      <c r="B27" s="225"/>
      <c r="C27" s="227"/>
      <c r="D27" s="227"/>
      <c r="E27" s="228"/>
      <c r="F27" s="229"/>
      <c r="G27" s="241"/>
      <c r="H27" s="241"/>
      <c r="I27" s="225"/>
      <c r="J27" s="225"/>
      <c r="K27" s="225"/>
      <c r="L27" s="213"/>
      <c r="M27" s="213"/>
      <c r="N27" s="215"/>
      <c r="O27" s="213"/>
      <c r="P27" s="213"/>
      <c r="Q27" s="213"/>
      <c r="R27" s="216"/>
      <c r="S27" s="216"/>
      <c r="T27" s="216"/>
      <c r="U27" s="216"/>
    </row>
    <row r="28" spans="2:21" s="212" customFormat="1" ht="8.25" customHeight="1">
      <c r="B28" s="225"/>
      <c r="C28" s="227"/>
      <c r="D28" s="227"/>
      <c r="E28" s="228"/>
      <c r="F28" s="229"/>
      <c r="G28" s="241"/>
      <c r="H28" s="241"/>
      <c r="I28" s="225"/>
      <c r="J28" s="225"/>
      <c r="K28" s="225"/>
      <c r="L28" s="213"/>
      <c r="M28" s="213"/>
      <c r="N28" s="215"/>
      <c r="O28" s="213"/>
      <c r="P28" s="213"/>
      <c r="Q28" s="213"/>
      <c r="R28" s="216"/>
      <c r="S28" s="216"/>
      <c r="T28" s="216"/>
      <c r="U28" s="216"/>
    </row>
    <row r="29" spans="2:21" s="212" customFormat="1" ht="35.1" customHeight="1">
      <c r="B29" s="331" t="s">
        <v>822</v>
      </c>
      <c r="C29" s="331"/>
      <c r="D29" s="331"/>
      <c r="E29" s="331"/>
      <c r="F29" s="235"/>
      <c r="G29" s="214"/>
      <c r="H29" s="214"/>
      <c r="I29" s="214"/>
      <c r="J29" s="214"/>
      <c r="K29" s="214"/>
      <c r="L29" s="213"/>
      <c r="M29" s="213"/>
      <c r="N29" s="215"/>
      <c r="O29" s="213"/>
      <c r="P29" s="213"/>
      <c r="Q29" s="213"/>
      <c r="R29" s="216"/>
      <c r="S29" s="216"/>
      <c r="T29" s="216"/>
      <c r="U29" s="216"/>
    </row>
    <row r="30" spans="2:21" s="212" customFormat="1" ht="21" customHeight="1">
      <c r="B30" s="1128" t="s">
        <v>236</v>
      </c>
      <c r="C30" s="1130" t="s">
        <v>60</v>
      </c>
      <c r="D30" s="1133" t="s">
        <v>77</v>
      </c>
      <c r="E30" s="1134"/>
      <c r="F30" s="1137" t="s">
        <v>299</v>
      </c>
      <c r="G30" s="1128" t="s">
        <v>83</v>
      </c>
      <c r="H30" s="1128" t="s">
        <v>300</v>
      </c>
      <c r="I30" s="1128" t="s">
        <v>78</v>
      </c>
      <c r="J30" s="1128" t="s">
        <v>79</v>
      </c>
      <c r="K30" s="1128" t="s">
        <v>837</v>
      </c>
      <c r="L30" s="213"/>
      <c r="M30" s="213"/>
      <c r="N30" s="215"/>
      <c r="O30" s="213"/>
      <c r="P30" s="213"/>
      <c r="Q30" s="213"/>
      <c r="R30" s="216"/>
      <c r="S30" s="216"/>
      <c r="T30" s="216"/>
      <c r="U30" s="216"/>
    </row>
    <row r="31" spans="2:21" s="212" customFormat="1" ht="25.5" customHeight="1">
      <c r="B31" s="1129"/>
      <c r="C31" s="1131"/>
      <c r="D31" s="176" t="s">
        <v>80</v>
      </c>
      <c r="E31" s="217" t="s">
        <v>81</v>
      </c>
      <c r="F31" s="1138"/>
      <c r="G31" s="1129"/>
      <c r="H31" s="1129"/>
      <c r="I31" s="1129"/>
      <c r="J31" s="1129"/>
      <c r="K31" s="1129"/>
      <c r="L31" s="213"/>
      <c r="M31" s="213"/>
      <c r="N31" s="215"/>
      <c r="O31" s="213"/>
      <c r="P31" s="213"/>
      <c r="Q31" s="213"/>
      <c r="R31" s="216"/>
      <c r="S31" s="216"/>
      <c r="T31" s="216"/>
      <c r="U31" s="216"/>
    </row>
    <row r="32" spans="2:21" s="212" customFormat="1" ht="62.1" customHeight="1">
      <c r="B32" s="219">
        <v>1</v>
      </c>
      <c r="C32" s="537" t="s">
        <v>814</v>
      </c>
      <c r="D32" s="218">
        <v>41821</v>
      </c>
      <c r="E32" s="218">
        <v>42369</v>
      </c>
      <c r="F32" s="333">
        <f t="shared" ref="F32:F37" si="0">E32-D32+1</f>
        <v>549</v>
      </c>
      <c r="G32" s="239">
        <v>487</v>
      </c>
      <c r="H32" s="333">
        <f>IF((E32-$K$2+1)&gt;=(중복도!$J$2*30),(중복도!$J$2*30),IF((E32-$K$2+1)&lt;30,0,(E32-$K$2+1)))</f>
        <v>136</v>
      </c>
      <c r="I32" s="220"/>
      <c r="J32" s="220"/>
      <c r="K32" s="220"/>
      <c r="L32" s="213"/>
      <c r="M32" s="213"/>
      <c r="N32" s="215"/>
      <c r="O32" s="213"/>
      <c r="P32" s="213"/>
      <c r="Q32" s="213"/>
      <c r="R32" s="216"/>
      <c r="S32" s="216"/>
      <c r="T32" s="216"/>
      <c r="U32" s="216"/>
    </row>
    <row r="33" spans="2:21" s="212" customFormat="1" ht="62.1" customHeight="1">
      <c r="B33" s="219">
        <v>2</v>
      </c>
      <c r="C33" s="537" t="s">
        <v>814</v>
      </c>
      <c r="D33" s="218">
        <v>41842</v>
      </c>
      <c r="E33" s="218">
        <v>42388</v>
      </c>
      <c r="F33" s="333">
        <f t="shared" si="0"/>
        <v>547</v>
      </c>
      <c r="G33" s="239">
        <v>232</v>
      </c>
      <c r="H33" s="333">
        <f>IF((E33-$K$2+1)&gt;=(중복도!$J$2*30),(중복도!$J$2*30),IF((E33-$K$2+1)&lt;30,0,(E33-$K$2+1)))</f>
        <v>155</v>
      </c>
      <c r="I33" s="220"/>
      <c r="J33" s="220"/>
      <c r="K33" s="220"/>
      <c r="L33" s="213"/>
      <c r="M33" s="213"/>
      <c r="N33" s="215"/>
      <c r="O33" s="213"/>
      <c r="P33" s="213"/>
      <c r="Q33" s="213"/>
      <c r="R33" s="216"/>
      <c r="S33" s="216"/>
      <c r="T33" s="216"/>
      <c r="U33" s="216"/>
    </row>
    <row r="34" spans="2:21" s="212" customFormat="1" ht="62.1" customHeight="1">
      <c r="B34" s="219">
        <v>3</v>
      </c>
      <c r="C34" s="537" t="s">
        <v>815</v>
      </c>
      <c r="D34" s="218">
        <v>42167</v>
      </c>
      <c r="E34" s="218">
        <v>42706</v>
      </c>
      <c r="F34" s="333">
        <f t="shared" si="0"/>
        <v>540</v>
      </c>
      <c r="G34" s="239">
        <v>357</v>
      </c>
      <c r="H34" s="333">
        <f>IF((E34-$K$2+1)&gt;=(중복도!$J$2*30),(중복도!$J$2*30),IF((E34-$K$2+1)&lt;30,0,(E34-$K$2+1)))</f>
        <v>473</v>
      </c>
      <c r="I34" s="220"/>
      <c r="J34" s="220"/>
      <c r="K34" s="220"/>
      <c r="L34" s="213"/>
      <c r="M34" s="213"/>
      <c r="N34" s="215"/>
      <c r="O34" s="213"/>
      <c r="P34" s="213"/>
      <c r="Q34" s="213"/>
      <c r="R34" s="216"/>
      <c r="S34" s="216"/>
      <c r="T34" s="216"/>
      <c r="U34" s="216"/>
    </row>
    <row r="35" spans="2:21" s="212" customFormat="1" ht="62.1" customHeight="1">
      <c r="B35" s="219">
        <v>4</v>
      </c>
      <c r="C35" s="537" t="s">
        <v>815</v>
      </c>
      <c r="D35" s="218">
        <v>42193</v>
      </c>
      <c r="E35" s="218">
        <v>42372</v>
      </c>
      <c r="F35" s="333">
        <f t="shared" si="0"/>
        <v>180</v>
      </c>
      <c r="G35" s="239">
        <v>203</v>
      </c>
      <c r="H35" s="333">
        <f>IF((E35-$K$2+1)&gt;=(중복도!$J$2*30),(중복도!$J$2*30),IF((E35-$K$2+1)&lt;30,0,(E35-$K$2+1)))</f>
        <v>139</v>
      </c>
      <c r="I35" s="220"/>
      <c r="J35" s="220"/>
      <c r="K35" s="220"/>
      <c r="L35" s="213"/>
      <c r="M35" s="213"/>
      <c r="N35" s="215"/>
      <c r="O35" s="213"/>
      <c r="P35" s="213"/>
      <c r="Q35" s="213"/>
      <c r="R35" s="216"/>
      <c r="S35" s="216"/>
      <c r="T35" s="216"/>
      <c r="U35" s="216"/>
    </row>
    <row r="36" spans="2:21" s="212" customFormat="1" ht="62.1" customHeight="1">
      <c r="B36" s="219">
        <v>5</v>
      </c>
      <c r="C36" s="537" t="s">
        <v>814</v>
      </c>
      <c r="D36" s="218">
        <v>41800</v>
      </c>
      <c r="E36" s="218">
        <v>42519</v>
      </c>
      <c r="F36" s="333">
        <f t="shared" si="0"/>
        <v>720</v>
      </c>
      <c r="G36" s="239">
        <v>950</v>
      </c>
      <c r="H36" s="333"/>
      <c r="I36" s="727">
        <v>42180</v>
      </c>
      <c r="J36" s="220"/>
      <c r="K36" s="220"/>
      <c r="L36" s="213"/>
      <c r="M36" s="213"/>
      <c r="N36" s="215"/>
      <c r="O36" s="213"/>
      <c r="P36" s="213"/>
      <c r="Q36" s="213"/>
      <c r="R36" s="216"/>
      <c r="S36" s="216"/>
      <c r="T36" s="216"/>
      <c r="U36" s="216"/>
    </row>
    <row r="37" spans="2:21" s="212" customFormat="1" ht="62.1" customHeight="1">
      <c r="B37" s="219">
        <v>6</v>
      </c>
      <c r="C37" s="537" t="s">
        <v>815</v>
      </c>
      <c r="D37" s="218">
        <v>41893</v>
      </c>
      <c r="E37" s="218">
        <v>42432</v>
      </c>
      <c r="F37" s="333">
        <f t="shared" si="0"/>
        <v>540</v>
      </c>
      <c r="G37" s="239">
        <v>358</v>
      </c>
      <c r="H37" s="333" t="s">
        <v>788</v>
      </c>
      <c r="I37" s="727">
        <v>42178</v>
      </c>
      <c r="J37" s="220"/>
      <c r="K37" s="220"/>
      <c r="L37" s="213"/>
      <c r="M37" s="213"/>
      <c r="N37" s="215"/>
      <c r="O37" s="213"/>
      <c r="P37" s="213"/>
      <c r="Q37" s="213"/>
      <c r="R37" s="216"/>
      <c r="S37" s="216"/>
      <c r="T37" s="216"/>
      <c r="U37" s="216"/>
    </row>
    <row r="38" spans="2:21" s="212" customFormat="1" ht="28.5" customHeight="1">
      <c r="B38" s="1125" t="s">
        <v>82</v>
      </c>
      <c r="C38" s="1126"/>
      <c r="D38" s="222"/>
      <c r="E38" s="223"/>
      <c r="F38" s="236"/>
      <c r="G38" s="240"/>
      <c r="H38" s="726">
        <f>SUM(H32:H37)/30</f>
        <v>30.1</v>
      </c>
      <c r="I38" s="118"/>
      <c r="J38" s="224"/>
      <c r="K38" s="553"/>
      <c r="L38" s="213"/>
      <c r="M38" s="213"/>
      <c r="N38" s="215"/>
      <c r="O38" s="213"/>
      <c r="P38" s="567"/>
      <c r="Q38" s="213"/>
      <c r="R38" s="216"/>
      <c r="S38" s="216"/>
      <c r="T38" s="216"/>
      <c r="U38" s="216"/>
    </row>
    <row r="39" spans="2:21" s="212" customFormat="1" ht="42" customHeight="1">
      <c r="B39" s="230"/>
      <c r="C39" s="226"/>
      <c r="D39" s="227"/>
      <c r="E39" s="228"/>
      <c r="F39" s="229"/>
      <c r="G39" s="241"/>
      <c r="H39" s="241"/>
      <c r="I39" s="225"/>
      <c r="J39" s="225"/>
      <c r="K39" s="225"/>
      <c r="L39" s="213"/>
      <c r="M39" s="213"/>
      <c r="N39" s="215"/>
      <c r="O39" s="213"/>
      <c r="P39" s="213"/>
      <c r="Q39" s="213"/>
      <c r="R39" s="216"/>
      <c r="S39" s="216"/>
      <c r="T39" s="216"/>
      <c r="U39" s="216"/>
    </row>
    <row r="40" spans="2:21" s="212" customFormat="1" ht="25.5" customHeight="1">
      <c r="B40" s="331" t="s">
        <v>823</v>
      </c>
      <c r="C40" s="331"/>
      <c r="D40" s="331"/>
      <c r="E40" s="331"/>
      <c r="F40" s="235"/>
      <c r="G40" s="214"/>
      <c r="H40" s="214"/>
      <c r="I40" s="214"/>
      <c r="J40" s="214"/>
      <c r="K40" s="214"/>
      <c r="L40" s="213"/>
      <c r="M40" s="213"/>
      <c r="N40" s="215"/>
      <c r="O40" s="213"/>
      <c r="P40" s="213"/>
      <c r="Q40" s="213"/>
      <c r="R40" s="216"/>
      <c r="S40" s="216"/>
      <c r="T40" s="216"/>
      <c r="U40" s="216"/>
    </row>
    <row r="41" spans="2:21" s="212" customFormat="1" ht="23.25" customHeight="1">
      <c r="B41" s="1128" t="s">
        <v>236</v>
      </c>
      <c r="C41" s="1130" t="s">
        <v>60</v>
      </c>
      <c r="D41" s="1133" t="s">
        <v>77</v>
      </c>
      <c r="E41" s="1134"/>
      <c r="F41" s="1137" t="s">
        <v>299</v>
      </c>
      <c r="G41" s="1128" t="s">
        <v>83</v>
      </c>
      <c r="H41" s="1128" t="s">
        <v>300</v>
      </c>
      <c r="I41" s="1128" t="s">
        <v>78</v>
      </c>
      <c r="J41" s="1128" t="s">
        <v>79</v>
      </c>
      <c r="K41" s="1128" t="s">
        <v>837</v>
      </c>
      <c r="L41" s="213"/>
      <c r="M41" s="213"/>
      <c r="N41" s="215"/>
      <c r="O41" s="213"/>
      <c r="P41" s="213"/>
      <c r="Q41" s="213"/>
      <c r="R41" s="216"/>
      <c r="S41" s="216"/>
      <c r="T41" s="216"/>
      <c r="U41" s="216"/>
    </row>
    <row r="42" spans="2:21" s="212" customFormat="1" ht="23.25" customHeight="1">
      <c r="B42" s="1129"/>
      <c r="C42" s="1131"/>
      <c r="D42" s="176" t="s">
        <v>80</v>
      </c>
      <c r="E42" s="217" t="s">
        <v>81</v>
      </c>
      <c r="F42" s="1138"/>
      <c r="G42" s="1129"/>
      <c r="H42" s="1129"/>
      <c r="I42" s="1129"/>
      <c r="J42" s="1129"/>
      <c r="K42" s="1129"/>
      <c r="L42" s="213"/>
      <c r="M42" s="213"/>
      <c r="N42" s="215"/>
      <c r="O42" s="213"/>
      <c r="P42" s="213"/>
      <c r="Q42" s="213"/>
      <c r="R42" s="216"/>
      <c r="S42" s="216"/>
      <c r="T42" s="216"/>
      <c r="U42" s="216"/>
    </row>
    <row r="43" spans="2:21" s="212" customFormat="1" ht="42" customHeight="1">
      <c r="B43" s="219">
        <v>1</v>
      </c>
      <c r="C43" s="192" t="s">
        <v>814</v>
      </c>
      <c r="D43" s="218">
        <v>42135</v>
      </c>
      <c r="E43" s="218">
        <v>43049</v>
      </c>
      <c r="F43" s="333">
        <f>E43-D43+1</f>
        <v>915</v>
      </c>
      <c r="G43" s="239">
        <v>581</v>
      </c>
      <c r="H43" s="333">
        <f>IF((E43-$K$2+1)&gt;=(중복도!$J$2*30),(중복도!$J$2*30),IF((E43-$K$2+1)&lt;30,0,(E43-$K$2+1)))</f>
        <v>720</v>
      </c>
      <c r="I43" s="642"/>
      <c r="J43" s="530"/>
      <c r="K43" s="643"/>
      <c r="L43" s="213"/>
      <c r="M43" s="213"/>
      <c r="N43" s="215"/>
      <c r="O43" s="213"/>
      <c r="P43" s="213"/>
      <c r="Q43" s="213"/>
      <c r="R43" s="216"/>
      <c r="S43" s="216"/>
      <c r="T43" s="216"/>
      <c r="U43" s="216"/>
    </row>
    <row r="44" spans="2:21" s="212" customFormat="1" ht="42" customHeight="1">
      <c r="B44" s="219">
        <v>2</v>
      </c>
      <c r="C44" s="192" t="s">
        <v>814</v>
      </c>
      <c r="D44" s="218">
        <v>42150</v>
      </c>
      <c r="E44" s="218">
        <v>43976</v>
      </c>
      <c r="F44" s="333">
        <f>E44-D44+1</f>
        <v>1827</v>
      </c>
      <c r="G44" s="239">
        <v>650</v>
      </c>
      <c r="H44" s="333">
        <f>IF((E44-$K$2+1)&gt;=(중복도!$J$2*30),(중복도!$J$2*30),IF((E44-$K$2+1)&lt;30,0,(E44-$K$2+1)))</f>
        <v>720</v>
      </c>
      <c r="I44" s="218"/>
      <c r="J44" s="221"/>
      <c r="K44" s="643"/>
      <c r="L44" s="213"/>
      <c r="M44" s="213"/>
      <c r="N44" s="215"/>
      <c r="O44" s="213"/>
      <c r="P44" s="213"/>
      <c r="Q44" s="213"/>
      <c r="R44" s="216"/>
      <c r="S44" s="216"/>
      <c r="T44" s="216"/>
      <c r="U44" s="216"/>
    </row>
    <row r="45" spans="2:21" s="212" customFormat="1" ht="30.75" customHeight="1">
      <c r="B45" s="1125" t="s">
        <v>82</v>
      </c>
      <c r="C45" s="1126"/>
      <c r="D45" s="222"/>
      <c r="E45" s="223"/>
      <c r="F45" s="236"/>
      <c r="G45" s="240"/>
      <c r="H45" s="726">
        <f>SUM(H43:H44)/30</f>
        <v>48</v>
      </c>
      <c r="I45" s="118"/>
      <c r="J45" s="224"/>
      <c r="K45" s="553"/>
      <c r="L45" s="213"/>
      <c r="M45" s="213"/>
      <c r="N45" s="215"/>
      <c r="O45" s="213"/>
      <c r="P45" s="213"/>
      <c r="Q45" s="213"/>
      <c r="R45" s="216"/>
      <c r="S45" s="216"/>
      <c r="T45" s="216"/>
      <c r="U45" s="216"/>
    </row>
    <row r="46" spans="2:21" s="212" customFormat="1" ht="15" customHeight="1">
      <c r="B46" s="230"/>
      <c r="C46" s="226"/>
      <c r="D46" s="227"/>
      <c r="E46" s="228"/>
      <c r="F46" s="229"/>
      <c r="G46" s="241"/>
      <c r="H46" s="241"/>
      <c r="I46" s="225"/>
      <c r="J46" s="225"/>
      <c r="K46" s="225"/>
      <c r="L46" s="213"/>
      <c r="M46" s="213"/>
      <c r="N46" s="215"/>
      <c r="O46" s="213"/>
      <c r="P46" s="213"/>
      <c r="Q46" s="213"/>
      <c r="R46" s="216"/>
      <c r="S46" s="216"/>
      <c r="T46" s="216"/>
      <c r="U46" s="216"/>
    </row>
    <row r="47" spans="2:21" s="212" customFormat="1" ht="32.25" customHeight="1">
      <c r="B47" s="331" t="s">
        <v>824</v>
      </c>
      <c r="C47" s="331"/>
      <c r="D47" s="331"/>
      <c r="E47" s="331"/>
      <c r="F47" s="235"/>
      <c r="G47" s="214"/>
      <c r="H47" s="214"/>
      <c r="I47" s="214"/>
      <c r="J47" s="214"/>
      <c r="K47" s="214"/>
      <c r="L47" s="213"/>
      <c r="M47" s="213"/>
      <c r="N47" s="215"/>
      <c r="O47" s="213"/>
      <c r="P47" s="213"/>
      <c r="Q47" s="213"/>
      <c r="R47" s="216"/>
      <c r="S47" s="216"/>
      <c r="T47" s="216"/>
      <c r="U47" s="216"/>
    </row>
    <row r="48" spans="2:21" s="212" customFormat="1" ht="23.25" customHeight="1">
      <c r="B48" s="1135" t="s">
        <v>236</v>
      </c>
      <c r="C48" s="1136" t="s">
        <v>60</v>
      </c>
      <c r="D48" s="1135" t="s">
        <v>77</v>
      </c>
      <c r="E48" s="1135"/>
      <c r="F48" s="1132" t="s">
        <v>299</v>
      </c>
      <c r="G48" s="1135" t="s">
        <v>83</v>
      </c>
      <c r="H48" s="1135" t="s">
        <v>300</v>
      </c>
      <c r="I48" s="1135" t="s">
        <v>78</v>
      </c>
      <c r="J48" s="1135" t="s">
        <v>79</v>
      </c>
      <c r="K48" s="1128" t="s">
        <v>837</v>
      </c>
      <c r="L48" s="213"/>
      <c r="M48" s="213"/>
      <c r="N48" s="215"/>
      <c r="O48" s="213"/>
      <c r="P48" s="213"/>
      <c r="Q48" s="213"/>
      <c r="R48" s="216"/>
      <c r="S48" s="216"/>
      <c r="T48" s="216"/>
      <c r="U48" s="216"/>
    </row>
    <row r="49" spans="2:21" s="212" customFormat="1" ht="23.25" customHeight="1">
      <c r="B49" s="1135"/>
      <c r="C49" s="1136"/>
      <c r="D49" s="176" t="s">
        <v>80</v>
      </c>
      <c r="E49" s="217" t="s">
        <v>81</v>
      </c>
      <c r="F49" s="1132"/>
      <c r="G49" s="1135"/>
      <c r="H49" s="1135"/>
      <c r="I49" s="1135"/>
      <c r="J49" s="1135"/>
      <c r="K49" s="1129"/>
      <c r="L49" s="213"/>
      <c r="M49" s="213"/>
      <c r="N49" s="215"/>
      <c r="O49" s="213"/>
      <c r="P49" s="213"/>
      <c r="Q49" s="213"/>
      <c r="R49" s="216"/>
      <c r="S49" s="216"/>
      <c r="T49" s="216"/>
      <c r="U49" s="216"/>
    </row>
    <row r="50" spans="2:21" s="212" customFormat="1" ht="62.1" customHeight="1">
      <c r="B50" s="219">
        <v>1</v>
      </c>
      <c r="C50" s="192" t="s">
        <v>815</v>
      </c>
      <c r="D50" s="724">
        <v>41785</v>
      </c>
      <c r="E50" s="724">
        <v>42246</v>
      </c>
      <c r="F50" s="333">
        <f>E50-D50+1</f>
        <v>462</v>
      </c>
      <c r="G50" s="239">
        <v>754</v>
      </c>
      <c r="H50" s="333">
        <f>IF((E50-$K$2+1)&gt;=([2]중첩도!$K$2*30),([2]중첩도!$K$2*30),(E50-$K$2+1))</f>
        <v>13</v>
      </c>
      <c r="I50" s="642">
        <v>42003</v>
      </c>
      <c r="J50" s="530" t="s">
        <v>787</v>
      </c>
      <c r="K50" s="643"/>
      <c r="L50" s="213"/>
      <c r="M50" s="213"/>
      <c r="N50" s="215"/>
      <c r="O50" s="213"/>
      <c r="P50" s="213"/>
      <c r="Q50" s="213"/>
      <c r="R50" s="216"/>
      <c r="S50" s="216"/>
      <c r="T50" s="216"/>
      <c r="U50" s="216"/>
    </row>
    <row r="51" spans="2:21" s="212" customFormat="1" ht="62.1" customHeight="1">
      <c r="B51" s="219">
        <v>2</v>
      </c>
      <c r="C51" s="192" t="s">
        <v>815</v>
      </c>
      <c r="D51" s="724">
        <v>42143</v>
      </c>
      <c r="E51" s="724">
        <v>42592</v>
      </c>
      <c r="F51" s="333">
        <f>E51-D51+1</f>
        <v>450</v>
      </c>
      <c r="G51" s="239">
        <v>867</v>
      </c>
      <c r="H51" s="333">
        <f>IF((E51-$K$2+1)&gt;=(중복도!$J$2*30),(중복도!$J$2*30),IF((E51-$K$2+1)&lt;30,0,(E51-$K$2+1)))</f>
        <v>359</v>
      </c>
      <c r="I51" s="642"/>
      <c r="J51" s="530"/>
      <c r="K51" s="643"/>
      <c r="L51" s="213"/>
      <c r="M51" s="213"/>
      <c r="N51" s="215"/>
      <c r="O51" s="213"/>
      <c r="P51" s="213"/>
      <c r="Q51" s="213"/>
      <c r="R51" s="216"/>
      <c r="S51" s="216"/>
      <c r="T51" s="216"/>
      <c r="U51" s="216"/>
    </row>
    <row r="52" spans="2:21" s="212" customFormat="1" ht="30.75" customHeight="1">
      <c r="B52" s="1127" t="s">
        <v>82</v>
      </c>
      <c r="C52" s="1127"/>
      <c r="D52" s="222"/>
      <c r="E52" s="223"/>
      <c r="F52" s="236"/>
      <c r="G52" s="240"/>
      <c r="H52" s="726">
        <f>SUM(H50:H51)/30</f>
        <v>12.4</v>
      </c>
      <c r="I52" s="118"/>
      <c r="J52" s="224"/>
      <c r="K52" s="553"/>
      <c r="L52" s="213"/>
      <c r="M52" s="213"/>
      <c r="N52" s="215"/>
      <c r="O52" s="213"/>
      <c r="P52" s="213"/>
      <c r="Q52" s="213"/>
      <c r="R52" s="216"/>
      <c r="S52" s="216"/>
      <c r="T52" s="216"/>
      <c r="U52" s="216"/>
    </row>
    <row r="53" spans="2:21" s="212" customFormat="1" ht="42" customHeight="1">
      <c r="B53" s="230"/>
      <c r="C53" s="226"/>
      <c r="D53" s="227"/>
      <c r="E53" s="228"/>
      <c r="F53" s="229"/>
      <c r="G53" s="241"/>
      <c r="H53" s="241"/>
      <c r="I53" s="225"/>
      <c r="J53" s="225"/>
      <c r="K53" s="225"/>
      <c r="L53" s="213"/>
      <c r="M53" s="213"/>
      <c r="N53" s="215"/>
      <c r="O53" s="213"/>
      <c r="P53" s="213"/>
      <c r="Q53" s="213"/>
      <c r="R53" s="216"/>
      <c r="S53" s="216"/>
      <c r="T53" s="216"/>
      <c r="U53" s="216"/>
    </row>
    <row r="54" spans="2:21" s="212" customFormat="1" ht="20.25" customHeight="1">
      <c r="B54" s="230"/>
      <c r="C54" s="226"/>
      <c r="D54" s="227"/>
      <c r="E54" s="228"/>
      <c r="F54" s="229"/>
      <c r="G54" s="241"/>
      <c r="H54" s="241"/>
      <c r="I54" s="225"/>
      <c r="J54" s="225"/>
      <c r="K54" s="225"/>
      <c r="L54" s="213"/>
      <c r="M54" s="370"/>
      <c r="N54" s="215"/>
      <c r="O54" s="213"/>
      <c r="P54" s="213"/>
      <c r="Q54" s="213"/>
      <c r="R54" s="216"/>
      <c r="S54" s="216"/>
      <c r="T54" s="216"/>
      <c r="U54" s="216"/>
    </row>
    <row r="55" spans="2:21" s="212" customFormat="1" ht="19.5" customHeight="1">
      <c r="B55" s="231"/>
      <c r="C55" s="232"/>
      <c r="D55" s="232"/>
      <c r="E55" s="231"/>
      <c r="F55" s="237"/>
      <c r="G55" s="233"/>
      <c r="H55" s="233"/>
      <c r="I55" s="233"/>
      <c r="J55" s="233"/>
      <c r="K55" s="233"/>
      <c r="L55" s="231"/>
      <c r="M55" s="231"/>
      <c r="N55" s="231"/>
      <c r="O55" s="231"/>
      <c r="P55" s="231"/>
      <c r="Q55" s="231"/>
    </row>
    <row r="56" spans="2:21" s="247" customFormat="1" ht="15.95" customHeight="1">
      <c r="B56" s="159" t="s">
        <v>261</v>
      </c>
      <c r="C56" s="160" t="s">
        <v>262</v>
      </c>
      <c r="D56" s="254"/>
      <c r="E56" s="246"/>
      <c r="F56" s="255"/>
      <c r="G56" s="256"/>
      <c r="H56" s="256"/>
      <c r="I56" s="256"/>
      <c r="J56" s="256"/>
      <c r="K56" s="256"/>
      <c r="L56" s="246"/>
      <c r="M56" s="246"/>
      <c r="N56" s="246"/>
      <c r="O56" s="246"/>
      <c r="P56" s="246"/>
      <c r="Q56" s="246"/>
      <c r="R56" s="246"/>
      <c r="S56" s="246"/>
    </row>
    <row r="57" spans="2:21" s="247" customFormat="1" ht="15.95" customHeight="1">
      <c r="B57" s="161" t="s">
        <v>304</v>
      </c>
      <c r="C57" s="160" t="s">
        <v>303</v>
      </c>
      <c r="D57" s="254"/>
      <c r="E57" s="246"/>
      <c r="F57" s="255"/>
      <c r="G57" s="256"/>
      <c r="H57" s="256"/>
      <c r="I57" s="256"/>
      <c r="J57" s="256"/>
      <c r="K57" s="256"/>
      <c r="L57" s="246"/>
      <c r="M57" s="246"/>
      <c r="N57" s="246"/>
      <c r="O57" s="246"/>
      <c r="P57" s="246"/>
      <c r="Q57" s="246"/>
      <c r="R57" s="246"/>
      <c r="S57" s="246"/>
    </row>
    <row r="58" spans="2:21" s="247" customFormat="1" ht="15.95" customHeight="1">
      <c r="B58" s="161" t="s">
        <v>305</v>
      </c>
      <c r="C58" s="160" t="s">
        <v>263</v>
      </c>
      <c r="D58" s="254"/>
      <c r="E58" s="246"/>
      <c r="F58" s="255"/>
      <c r="G58" s="256"/>
      <c r="H58" s="256"/>
      <c r="I58" s="256"/>
      <c r="J58" s="256"/>
      <c r="K58" s="256"/>
      <c r="L58" s="246"/>
      <c r="M58" s="246"/>
      <c r="N58" s="246"/>
      <c r="O58" s="246"/>
      <c r="P58" s="246"/>
      <c r="Q58" s="246"/>
      <c r="R58" s="246"/>
      <c r="S58" s="246"/>
    </row>
    <row r="59" spans="2:21" s="247" customFormat="1" ht="32.25" customHeight="1">
      <c r="B59" s="161" t="s">
        <v>306</v>
      </c>
      <c r="C59" s="1124" t="s">
        <v>302</v>
      </c>
      <c r="D59" s="1124"/>
      <c r="E59" s="1124"/>
      <c r="F59" s="1124"/>
      <c r="G59" s="1124"/>
      <c r="H59" s="1124"/>
      <c r="I59" s="1124"/>
      <c r="J59" s="256"/>
      <c r="K59" s="256"/>
      <c r="L59" s="246"/>
      <c r="M59" s="246"/>
      <c r="N59" s="246"/>
      <c r="O59" s="246"/>
      <c r="P59" s="246"/>
      <c r="Q59" s="246"/>
      <c r="R59" s="246"/>
      <c r="S59" s="246"/>
    </row>
    <row r="60" spans="2:21" s="247" customFormat="1" ht="15.95" customHeight="1">
      <c r="B60" s="161" t="s">
        <v>342</v>
      </c>
      <c r="C60" s="166" t="s">
        <v>265</v>
      </c>
      <c r="D60" s="211"/>
      <c r="E60" s="199"/>
      <c r="F60" s="257"/>
      <c r="G60" s="211"/>
      <c r="H60" s="211"/>
      <c r="I60" s="211"/>
      <c r="J60" s="211"/>
      <c r="K60" s="211"/>
      <c r="L60" s="199"/>
      <c r="M60" s="199"/>
      <c r="N60" s="246"/>
      <c r="O60" s="246"/>
      <c r="P60" s="246"/>
      <c r="Q60" s="246"/>
    </row>
    <row r="61" spans="2:21" s="247" customFormat="1" ht="15.95" customHeight="1">
      <c r="B61" s="246"/>
      <c r="C61" s="254"/>
      <c r="D61" s="254"/>
      <c r="E61" s="246"/>
      <c r="F61" s="255"/>
      <c r="G61" s="256"/>
      <c r="H61" s="256"/>
      <c r="I61" s="256"/>
      <c r="J61" s="256"/>
      <c r="K61" s="256"/>
      <c r="L61" s="246"/>
      <c r="M61" s="246"/>
      <c r="N61" s="246"/>
      <c r="O61" s="246"/>
      <c r="P61" s="246"/>
      <c r="Q61" s="246"/>
    </row>
    <row r="69" spans="2:2" ht="15.95" customHeight="1">
      <c r="B69" s="165"/>
    </row>
    <row r="70" spans="2:2" ht="15.95" customHeight="1">
      <c r="B70" s="165"/>
    </row>
    <row r="71" spans="2:2" ht="15.95" customHeight="1">
      <c r="B71" s="165"/>
    </row>
    <row r="72" spans="2:2" ht="15.95" customHeight="1">
      <c r="B72" s="165"/>
    </row>
    <row r="73" spans="2:2" ht="15.95" customHeight="1">
      <c r="B73" s="165"/>
    </row>
    <row r="74" spans="2:2" ht="15.95" customHeight="1">
      <c r="B74" s="165"/>
    </row>
  </sheetData>
  <mergeCells count="63">
    <mergeCell ref="K48:K49"/>
    <mergeCell ref="K5:K6"/>
    <mergeCell ref="K14:K15"/>
    <mergeCell ref="K20:K21"/>
    <mergeCell ref="K30:K31"/>
    <mergeCell ref="K41:K42"/>
    <mergeCell ref="B2:C2"/>
    <mergeCell ref="I5:I6"/>
    <mergeCell ref="B20:B21"/>
    <mergeCell ref="C20:C21"/>
    <mergeCell ref="D20:E20"/>
    <mergeCell ref="C5:C6"/>
    <mergeCell ref="D5:E5"/>
    <mergeCell ref="I14:I15"/>
    <mergeCell ref="H5:H6"/>
    <mergeCell ref="F5:F6"/>
    <mergeCell ref="H20:H21"/>
    <mergeCell ref="G14:G15"/>
    <mergeCell ref="B45:C45"/>
    <mergeCell ref="C30:C31"/>
    <mergeCell ref="B26:C26"/>
    <mergeCell ref="H30:H31"/>
    <mergeCell ref="B5:B6"/>
    <mergeCell ref="B9:C9"/>
    <mergeCell ref="B18:C18"/>
    <mergeCell ref="B14:B15"/>
    <mergeCell ref="C14:C15"/>
    <mergeCell ref="B11:C11"/>
    <mergeCell ref="D14:E14"/>
    <mergeCell ref="B30:B31"/>
    <mergeCell ref="D30:E30"/>
    <mergeCell ref="J48:J49"/>
    <mergeCell ref="J5:J6"/>
    <mergeCell ref="I30:I31"/>
    <mergeCell ref="F30:F31"/>
    <mergeCell ref="J14:J15"/>
    <mergeCell ref="F14:F15"/>
    <mergeCell ref="G5:G6"/>
    <mergeCell ref="J41:J42"/>
    <mergeCell ref="J30:J31"/>
    <mergeCell ref="I41:I42"/>
    <mergeCell ref="J20:J21"/>
    <mergeCell ref="I20:I21"/>
    <mergeCell ref="F20:F21"/>
    <mergeCell ref="G20:G21"/>
    <mergeCell ref="H14:H15"/>
    <mergeCell ref="G30:G31"/>
    <mergeCell ref="C59:I59"/>
    <mergeCell ref="B38:C38"/>
    <mergeCell ref="B52:C52"/>
    <mergeCell ref="G41:G42"/>
    <mergeCell ref="B41:B42"/>
    <mergeCell ref="C41:C42"/>
    <mergeCell ref="F48:F49"/>
    <mergeCell ref="D41:E41"/>
    <mergeCell ref="D48:E48"/>
    <mergeCell ref="H41:H42"/>
    <mergeCell ref="I48:I49"/>
    <mergeCell ref="B48:B49"/>
    <mergeCell ref="C48:C49"/>
    <mergeCell ref="G48:G49"/>
    <mergeCell ref="H48:H49"/>
    <mergeCell ref="F41:F42"/>
  </mergeCells>
  <phoneticPr fontId="23" type="noConversion"/>
  <pageMargins left="0.74803149606299213" right="0.59055118110236227" top="0.98425196850393704" bottom="0.70866141732283472" header="0.51181102362204722" footer="0.51181102362204722"/>
  <pageSetup paperSize="9" scale="79" orientation="landscape" horizontalDpi="4294967293" r:id="rId1"/>
  <headerFooter alignWithMargins="0"/>
  <rowBreaks count="2" manualBreakCount="2">
    <brk id="28" max="11" man="1"/>
    <brk id="46" max="11" man="1"/>
  </rowBreaks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>
  <sheetPr codeName="Sheet13" enableFormatConditionsCalculation="0">
    <tabColor indexed="10"/>
  </sheetPr>
  <dimension ref="A1:AB22"/>
  <sheetViews>
    <sheetView view="pageBreakPreview" zoomScale="85" zoomScaleNormal="55" zoomScaleSheetLayoutView="70" workbookViewId="0">
      <selection activeCell="D16" sqref="D16"/>
    </sheetView>
  </sheetViews>
  <sheetFormatPr defaultRowHeight="15.95" customHeight="1"/>
  <cols>
    <col min="1" max="1" width="4.21875" style="24" customWidth="1"/>
    <col min="2" max="2" width="27.21875" style="24" customWidth="1"/>
    <col min="3" max="3" width="27.77734375" style="24" customWidth="1"/>
    <col min="4" max="5" width="27.21875" style="24" customWidth="1"/>
    <col min="6" max="6" width="26.6640625" style="24" customWidth="1"/>
    <col min="7" max="7" width="10.21875" style="24" bestFit="1" customWidth="1"/>
    <col min="8" max="9" width="5.6640625" style="24" bestFit="1" customWidth="1"/>
    <col min="10" max="10" width="8.21875" style="24" customWidth="1"/>
    <col min="11" max="11" width="8.6640625" style="24" customWidth="1"/>
    <col min="12" max="12" width="6.5546875" style="24" customWidth="1"/>
    <col min="13" max="13" width="6.44140625" style="24" customWidth="1"/>
    <col min="14" max="18" width="5.6640625" style="2" bestFit="1" customWidth="1"/>
    <col min="19" max="19" width="5.77734375" style="2" customWidth="1"/>
    <col min="20" max="20" width="5.6640625" style="2" bestFit="1" customWidth="1"/>
    <col min="21" max="21" width="5.5546875" style="2" customWidth="1"/>
    <col min="22" max="23" width="7.88671875" style="2" customWidth="1"/>
    <col min="24" max="24" width="9.109375" style="2" customWidth="1"/>
    <col min="25" max="25" width="8.33203125" style="2" customWidth="1"/>
    <col min="26" max="26" width="7.88671875" style="18" customWidth="1"/>
    <col min="27" max="27" width="6.33203125" style="2" bestFit="1" customWidth="1"/>
    <col min="28" max="28" width="8.77734375" style="2" customWidth="1"/>
    <col min="29" max="29" width="6.33203125" style="2" bestFit="1" customWidth="1"/>
    <col min="30" max="30" width="8.5546875" style="2" customWidth="1"/>
    <col min="31" max="31" width="7.5546875" style="2" bestFit="1" customWidth="1"/>
    <col min="32" max="32" width="6" style="2" customWidth="1"/>
    <col min="33" max="33" width="9.44140625" style="2" customWidth="1"/>
    <col min="34" max="34" width="4" style="2" customWidth="1"/>
    <col min="35" max="35" width="7.77734375" style="2" customWidth="1"/>
    <col min="36" max="16384" width="8.88671875" style="2"/>
  </cols>
  <sheetData>
    <row r="1" spans="1:28" s="8" customFormat="1" ht="36.75" customHeight="1">
      <c r="A1" s="78" t="s">
        <v>240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Z1" s="19"/>
    </row>
    <row r="2" spans="1:28" s="4" customFormat="1" ht="21" customHeight="1">
      <c r="A2" s="107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Z2" s="17"/>
    </row>
    <row r="3" spans="1:28" s="4" customFormat="1" ht="43.5" customHeight="1">
      <c r="A3" s="25"/>
      <c r="B3" s="1041" t="s">
        <v>88</v>
      </c>
      <c r="C3" s="1146" t="s">
        <v>109</v>
      </c>
      <c r="D3" s="1144" t="s">
        <v>397</v>
      </c>
      <c r="E3" s="1144" t="s">
        <v>834</v>
      </c>
      <c r="F3" s="1144" t="s">
        <v>398</v>
      </c>
      <c r="G3" s="25"/>
      <c r="H3" s="25"/>
    </row>
    <row r="4" spans="1:28" s="4" customFormat="1" ht="43.5" customHeight="1">
      <c r="A4" s="25"/>
      <c r="B4" s="1042"/>
      <c r="C4" s="1147"/>
      <c r="D4" s="1145"/>
      <c r="E4" s="1148"/>
      <c r="F4" s="1145"/>
      <c r="G4" s="25"/>
      <c r="H4" s="25"/>
    </row>
    <row r="5" spans="1:28" s="4" customFormat="1" ht="87" customHeight="1">
      <c r="A5" s="25"/>
      <c r="B5" s="814" t="str">
        <f>중복도!B6</f>
        <v>oo엔지니어링</v>
      </c>
      <c r="C5" s="815">
        <f>참여업체!C7</f>
        <v>0.42</v>
      </c>
      <c r="D5" s="816">
        <v>0</v>
      </c>
      <c r="E5" s="816"/>
      <c r="F5" s="1141">
        <f>ROUND((D5*C5+D6*C6+D7*C7)+(E5*C5+E6*C6+D7*C7),2)</f>
        <v>0</v>
      </c>
      <c r="G5" s="25"/>
      <c r="H5" s="25"/>
      <c r="AB5" s="1"/>
    </row>
    <row r="6" spans="1:28" s="4" customFormat="1" ht="87" customHeight="1">
      <c r="A6" s="25"/>
      <c r="B6" s="817" t="str">
        <f>중복도!B7</f>
        <v>＊＊엔지니어링</v>
      </c>
      <c r="C6" s="818">
        <f>참여업체!D7</f>
        <v>0.33</v>
      </c>
      <c r="D6" s="819">
        <v>0</v>
      </c>
      <c r="E6" s="819"/>
      <c r="F6" s="1142"/>
      <c r="G6" s="25"/>
      <c r="H6" s="25"/>
      <c r="AB6" s="1"/>
    </row>
    <row r="7" spans="1:28" s="4" customFormat="1" ht="87" customHeight="1">
      <c r="A7" s="25"/>
      <c r="B7" s="820" t="str">
        <f>중복도!B8</f>
        <v>☆☆엔지니어링</v>
      </c>
      <c r="C7" s="821">
        <f>참여업체!E7</f>
        <v>0.25</v>
      </c>
      <c r="D7" s="822">
        <v>0</v>
      </c>
      <c r="E7" s="822"/>
      <c r="F7" s="1143"/>
      <c r="G7" s="25"/>
      <c r="H7" s="25"/>
      <c r="AB7" s="1"/>
    </row>
    <row r="8" spans="1:28" ht="46.5" customHeight="1">
      <c r="B8" s="313"/>
      <c r="H8" s="111"/>
      <c r="I8" s="111"/>
      <c r="J8" s="25"/>
      <c r="K8" s="25"/>
      <c r="L8" s="25"/>
      <c r="M8" s="25"/>
      <c r="N8" s="4"/>
      <c r="O8" s="4"/>
      <c r="P8" s="4"/>
      <c r="Q8" s="4"/>
      <c r="R8" s="4"/>
      <c r="S8" s="4"/>
      <c r="T8" s="4"/>
      <c r="U8" s="4"/>
    </row>
    <row r="9" spans="1:28" ht="18.75" customHeight="1"/>
    <row r="22" spans="17:17" ht="15.95" customHeight="1">
      <c r="Q22" s="566" t="e">
        <f>기술투자!#REF!</f>
        <v>#REF!</v>
      </c>
    </row>
  </sheetData>
  <mergeCells count="6">
    <mergeCell ref="F5:F7"/>
    <mergeCell ref="B3:B4"/>
    <mergeCell ref="D3:D4"/>
    <mergeCell ref="C3:C4"/>
    <mergeCell ref="F3:F4"/>
    <mergeCell ref="E3:E4"/>
  </mergeCells>
  <phoneticPr fontId="2" type="noConversion"/>
  <pageMargins left="0.71" right="0.74803149606299213" top="1.1499999999999999" bottom="0.78740157480314965" header="0.51181102362204722" footer="0.51181102362204722"/>
  <pageSetup paperSize="9" scale="80" orientation="landscape" horizontalDpi="4294967293" r:id="rId1"/>
  <headerFooter alignWithMargins="0"/>
  <colBreaks count="1" manualBreakCount="1">
    <brk id="33" max="62" man="1"/>
  </colBreaks>
</worksheet>
</file>

<file path=xl/worksheets/sheet3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T45" sqref="T45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36</vt:i4>
      </vt:variant>
      <vt:variant>
        <vt:lpstr>이름이 지정된 범위</vt:lpstr>
      </vt:variant>
      <vt:variant>
        <vt:i4>47</vt:i4>
      </vt:variant>
    </vt:vector>
  </HeadingPairs>
  <TitlesOfParts>
    <vt:vector size="83" baseType="lpstr">
      <vt:lpstr>작성요령</vt:lpstr>
      <vt:lpstr>참여업체</vt:lpstr>
      <vt:lpstr>배점기준</vt:lpstr>
      <vt:lpstr>기술자</vt:lpstr>
      <vt:lpstr>종합</vt:lpstr>
      <vt:lpstr>사업책임기술자(000)</vt:lpstr>
      <vt:lpstr>도시계획책임(000)</vt:lpstr>
      <vt:lpstr>토질지질책임(000)</vt:lpstr>
      <vt:lpstr>도로공항책임(000)</vt:lpstr>
      <vt:lpstr>토목구조책임(000)</vt:lpstr>
      <vt:lpstr>상하수도분책(000)</vt:lpstr>
      <vt:lpstr>도시계획참여(000)</vt:lpstr>
      <vt:lpstr>토질지질참여(000)</vt:lpstr>
      <vt:lpstr>도로공항참여(000)</vt:lpstr>
      <vt:lpstr>토목구조참여(000)</vt:lpstr>
      <vt:lpstr>상하수도참여(000)</vt:lpstr>
      <vt:lpstr>교육훈련</vt:lpstr>
      <vt:lpstr>전차용역(기술자)</vt:lpstr>
      <vt:lpstr>유사용역</vt:lpstr>
      <vt:lpstr>유사(000)</vt:lpstr>
      <vt:lpstr>유사(0001)</vt:lpstr>
      <vt:lpstr>유사(0002)</vt:lpstr>
      <vt:lpstr>전차용역</vt:lpstr>
      <vt:lpstr>신용도</vt:lpstr>
      <vt:lpstr>부실벌점</vt:lpstr>
      <vt:lpstr>기술투자</vt:lpstr>
      <vt:lpstr>개발(000)</vt:lpstr>
      <vt:lpstr>개발(0001)</vt:lpstr>
      <vt:lpstr>개발(0002)</vt:lpstr>
      <vt:lpstr>활용(000)</vt:lpstr>
      <vt:lpstr>활용(0001)</vt:lpstr>
      <vt:lpstr>활용(0002)</vt:lpstr>
      <vt:lpstr>중복도</vt:lpstr>
      <vt:lpstr>중복신고</vt:lpstr>
      <vt:lpstr>가감점</vt:lpstr>
      <vt:lpstr>Sheet1</vt:lpstr>
      <vt:lpstr>가감점!Print_Area</vt:lpstr>
      <vt:lpstr>'개발(000)'!Print_Area</vt:lpstr>
      <vt:lpstr>'개발(0001)'!Print_Area</vt:lpstr>
      <vt:lpstr>'개발(0002)'!Print_Area</vt:lpstr>
      <vt:lpstr>교육훈련!Print_Area</vt:lpstr>
      <vt:lpstr>기술자!Print_Area</vt:lpstr>
      <vt:lpstr>기술투자!Print_Area</vt:lpstr>
      <vt:lpstr>'도로공항참여(000)'!Print_Area</vt:lpstr>
      <vt:lpstr>'도로공항책임(000)'!Print_Area</vt:lpstr>
      <vt:lpstr>'도시계획참여(000)'!Print_Area</vt:lpstr>
      <vt:lpstr>'도시계획책임(000)'!Print_Area</vt:lpstr>
      <vt:lpstr>배점기준!Print_Area</vt:lpstr>
      <vt:lpstr>부실벌점!Print_Area</vt:lpstr>
      <vt:lpstr>'사업책임기술자(000)'!Print_Area</vt:lpstr>
      <vt:lpstr>신용도!Print_Area</vt:lpstr>
      <vt:lpstr>'유사(000)'!Print_Area</vt:lpstr>
      <vt:lpstr>'유사(0001)'!Print_Area</vt:lpstr>
      <vt:lpstr>'유사(0002)'!Print_Area</vt:lpstr>
      <vt:lpstr>유사용역!Print_Area</vt:lpstr>
      <vt:lpstr>전차용역!Print_Area</vt:lpstr>
      <vt:lpstr>'전차용역(기술자)'!Print_Area</vt:lpstr>
      <vt:lpstr>종합!Print_Area</vt:lpstr>
      <vt:lpstr>중복도!Print_Area</vt:lpstr>
      <vt:lpstr>중복신고!Print_Area</vt:lpstr>
      <vt:lpstr>참여업체!Print_Area</vt:lpstr>
      <vt:lpstr>'토목구조참여(000)'!Print_Area</vt:lpstr>
      <vt:lpstr>'토목구조책임(000)'!Print_Area</vt:lpstr>
      <vt:lpstr>'토질지질참여(000)'!Print_Area</vt:lpstr>
      <vt:lpstr>'활용(000)'!Print_Area</vt:lpstr>
      <vt:lpstr>'활용(0001)'!Print_Area</vt:lpstr>
      <vt:lpstr>'활용(0002)'!Print_Area</vt:lpstr>
      <vt:lpstr>'개발(0001)'!Print_Titles</vt:lpstr>
      <vt:lpstr>'개발(0002)'!Print_Titles</vt:lpstr>
      <vt:lpstr>교육훈련!Print_Titles</vt:lpstr>
      <vt:lpstr>'도로공항참여(000)'!Print_Titles</vt:lpstr>
      <vt:lpstr>'도시계획참여(000)'!Print_Titles</vt:lpstr>
      <vt:lpstr>'도시계획책임(000)'!Print_Titles</vt:lpstr>
      <vt:lpstr>'유사(000)'!Print_Titles</vt:lpstr>
      <vt:lpstr>'유사(0001)'!Print_Titles</vt:lpstr>
      <vt:lpstr>'유사(0002)'!Print_Titles</vt:lpstr>
      <vt:lpstr>'토목구조참여(000)'!Print_Titles</vt:lpstr>
      <vt:lpstr>'토질지질참여(000)'!Print_Titles</vt:lpstr>
      <vt:lpstr>'활용(000)'!Print_Titles</vt:lpstr>
      <vt:lpstr>'활용(0001)'!Print_Titles</vt:lpstr>
      <vt:lpstr>'활용(0002)'!Print_Titles</vt:lpstr>
      <vt:lpstr>기준</vt:lpstr>
      <vt:lpstr>회사채</vt:lpstr>
    </vt:vector>
  </TitlesOfParts>
  <Company>LH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100101_PQ평가 지침평가표</dc:title>
  <dc:creator>박광민</dc:creator>
  <cp:lastModifiedBy>LH</cp:lastModifiedBy>
  <cp:lastPrinted>2016-12-02T02:14:59Z</cp:lastPrinted>
  <dcterms:created xsi:type="dcterms:W3CDTF">2005-06-07T00:13:25Z</dcterms:created>
  <dcterms:modified xsi:type="dcterms:W3CDTF">2016-12-16T05:55:41Z</dcterms:modified>
</cp:coreProperties>
</file>