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60" yWindow="45" windowWidth="21900" windowHeight="9645" tabRatio="886"/>
  </bookViews>
  <sheets>
    <sheet name="작성요령" sheetId="61" r:id="rId1"/>
    <sheet name="참여업체" sheetId="19" r:id="rId2"/>
    <sheet name="배점기준" sheetId="18" r:id="rId3"/>
    <sheet name="종합평가표" sheetId="2" r:id="rId4"/>
    <sheet name="평가자" sheetId="7" r:id="rId5"/>
    <sheet name="총괄경력" sheetId="160" r:id="rId6"/>
    <sheet name="분야별책임경력" sheetId="161" r:id="rId7"/>
    <sheet name="분야별경력" sheetId="162" r:id="rId8"/>
    <sheet name="총괄실적" sheetId="85" r:id="rId9"/>
    <sheet name="분야별책임실적" sheetId="143" r:id="rId10"/>
    <sheet name="분야별실적" sheetId="158" r:id="rId11"/>
    <sheet name="업무여유도" sheetId="142" r:id="rId12"/>
    <sheet name="교육훈련" sheetId="102" r:id="rId13"/>
    <sheet name="과업의이해도" sheetId="159" r:id="rId14"/>
    <sheet name="환경평가업체" sheetId="9" r:id="rId15"/>
    <sheet name="업체수행실적" sheetId="95" r:id="rId16"/>
    <sheet name="신용도" sheetId="31" r:id="rId17"/>
    <sheet name="부실벌점" sheetId="122" r:id="rId18"/>
    <sheet name="기술투자" sheetId="165" r:id="rId19"/>
    <sheet name="개발(주관)" sheetId="166" r:id="rId20"/>
    <sheet name="개발(협력)" sheetId="167" r:id="rId21"/>
    <sheet name="개발(협력2)" sheetId="168" r:id="rId22"/>
    <sheet name="활용(주관)" sheetId="169" r:id="rId23"/>
    <sheet name="활용(협력)" sheetId="170" r:id="rId24"/>
    <sheet name="활용(협력2)" sheetId="171" r:id="rId25"/>
    <sheet name="가감점" sheetId="140" r:id="rId26"/>
  </sheets>
  <externalReferences>
    <externalReference r:id="rId27"/>
  </externalReferences>
  <definedNames>
    <definedName name="_xlnm._FilterDatabase" localSheetId="14" hidden="1">환경평가업체!$D$3:$H$6</definedName>
    <definedName name="_xlnm.Print_Area" localSheetId="25">가감점!$A$1:$F$11</definedName>
    <definedName name="_xlnm.Print_Area" localSheetId="19">'개발(주관)'!$A$1:$L$23</definedName>
    <definedName name="_xlnm.Print_Area" localSheetId="20">'개발(협력)'!$A$1:$L$23</definedName>
    <definedName name="_xlnm.Print_Area" localSheetId="21">'개발(협력2)'!$A$1:$L$23</definedName>
    <definedName name="_xlnm.Print_Area" localSheetId="12">교육훈련!$A$1:$G$18</definedName>
    <definedName name="_xlnm.Print_Area" localSheetId="18">기술투자!$A$1:$Q$29</definedName>
    <definedName name="_xlnm.Print_Area" localSheetId="2">배점기준!$B$1:$K$136</definedName>
    <definedName name="_xlnm.Print_Area" localSheetId="17">부실벌점!$A$1:$I$53</definedName>
    <definedName name="_xlnm.Print_Area" localSheetId="7">분야별경력!$A$1:$K$115</definedName>
    <definedName name="_xlnm.Print_Area" localSheetId="10">분야별실적!$A$1:$P$113</definedName>
    <definedName name="_xlnm.Print_Area" localSheetId="6">분야별책임경력!$A$1:$K$121</definedName>
    <definedName name="_xlnm.Print_Area" localSheetId="9">분야별책임실적!$A$1:$P$113</definedName>
    <definedName name="_xlnm.Print_Area" localSheetId="16">신용도!$A$1:$L$17</definedName>
    <definedName name="_xlnm.Print_Area" localSheetId="11">업무여유도!$A$1:$M$107</definedName>
    <definedName name="_xlnm.Print_Area" localSheetId="15">업체수행실적!$A$1:$N$63</definedName>
    <definedName name="_xlnm.Print_Area" localSheetId="3">종합평가표!$A$1:$G$33</definedName>
    <definedName name="_xlnm.Print_Area" localSheetId="1">참여업체!$B$1:$F$7</definedName>
    <definedName name="_xlnm.Print_Area" localSheetId="5">총괄경력!$A$1:$L$19</definedName>
    <definedName name="_xlnm.Print_Area" localSheetId="8">총괄실적!$A$1:$O$19</definedName>
    <definedName name="_xlnm.Print_Area" localSheetId="4">평가자!$A$1:$L$40</definedName>
    <definedName name="_xlnm.Print_Area" localSheetId="14">환경평가업체!$A$1:$H$12</definedName>
    <definedName name="_xlnm.Print_Area" localSheetId="22">'활용(주관)'!$A$1:$L$19</definedName>
    <definedName name="_xlnm.Print_Area" localSheetId="23">'활용(협력)'!$A$1:$L$18</definedName>
    <definedName name="_xlnm.Print_Area" localSheetId="24">'활용(협력2)'!$A$1:$L$18</definedName>
    <definedName name="_xlnm.Print_Titles" localSheetId="19">'개발(주관)'!$A$2:$IX$2</definedName>
    <definedName name="_xlnm.Print_Titles" localSheetId="20">'개발(협력)'!$A$2:$IX$2</definedName>
    <definedName name="_xlnm.Print_Titles" localSheetId="21">'개발(협력2)'!$A$2:$IX$2</definedName>
    <definedName name="_xlnm.Print_Titles" localSheetId="15">업체수행실적!$3:$4</definedName>
    <definedName name="_xlnm.Print_Titles" localSheetId="22">'활용(주관)'!$A$2:$IW$2</definedName>
    <definedName name="_xlnm.Print_Titles" localSheetId="23">'활용(협력)'!$A$2:$IW$2</definedName>
    <definedName name="_xlnm.Print_Titles" localSheetId="24">'활용(협력2)'!$A$2:$IW$2</definedName>
    <definedName name="기준" localSheetId="7">신용도!#REF!</definedName>
    <definedName name="기준" localSheetId="10">신용도!#REF!</definedName>
    <definedName name="기준" localSheetId="6">신용도!#REF!</definedName>
    <definedName name="기준" localSheetId="9">신용도!#REF!</definedName>
    <definedName name="기준" localSheetId="5">신용도!#REF!</definedName>
    <definedName name="기준">신용도!#REF!</definedName>
    <definedName name="회사채">신용도!$D$22:$D$40</definedName>
  </definedNames>
  <calcPr calcId="125725"/>
</workbook>
</file>

<file path=xl/calcChain.xml><?xml version="1.0" encoding="utf-8"?>
<calcChain xmlns="http://schemas.openxmlformats.org/spreadsheetml/2006/main">
  <c r="G8" i="142"/>
  <c r="G7"/>
  <c r="G6"/>
  <c r="G17"/>
  <c r="G16"/>
  <c r="G15"/>
  <c r="G25"/>
  <c r="G24"/>
  <c r="G23"/>
  <c r="G41"/>
  <c r="G40"/>
  <c r="G39"/>
  <c r="G49"/>
  <c r="G48"/>
  <c r="G47"/>
  <c r="G57"/>
  <c r="G56"/>
  <c r="G55"/>
  <c r="G66"/>
  <c r="G65"/>
  <c r="G64"/>
  <c r="G74"/>
  <c r="G73"/>
  <c r="G72"/>
  <c r="G82"/>
  <c r="G81"/>
  <c r="G80"/>
  <c r="G90"/>
  <c r="G89"/>
  <c r="G88"/>
  <c r="G98"/>
  <c r="G97"/>
  <c r="G96"/>
  <c r="G106"/>
  <c r="G105"/>
  <c r="G104"/>
  <c r="I106"/>
  <c r="I105"/>
  <c r="I104"/>
  <c r="I98"/>
  <c r="I97"/>
  <c r="I96"/>
  <c r="I90"/>
  <c r="I89"/>
  <c r="I88"/>
  <c r="I82"/>
  <c r="I81"/>
  <c r="I80"/>
  <c r="I74"/>
  <c r="I73"/>
  <c r="I72"/>
  <c r="I66"/>
  <c r="I65"/>
  <c r="I64"/>
  <c r="I57"/>
  <c r="I56"/>
  <c r="I55"/>
  <c r="I49"/>
  <c r="I48"/>
  <c r="I47"/>
  <c r="I41"/>
  <c r="I40"/>
  <c r="I39"/>
  <c r="I33"/>
  <c r="I32"/>
  <c r="I31"/>
  <c r="I25"/>
  <c r="I24"/>
  <c r="I23"/>
  <c r="I17"/>
  <c r="I16"/>
  <c r="I15"/>
  <c r="I8"/>
  <c r="I7"/>
  <c r="I6"/>
  <c r="M103"/>
  <c r="M95"/>
  <c r="M87"/>
  <c r="M79"/>
  <c r="M71"/>
  <c r="M63"/>
  <c r="M54"/>
  <c r="M46"/>
  <c r="M38"/>
  <c r="M30"/>
  <c r="M22"/>
  <c r="M14"/>
  <c r="M5"/>
  <c r="J114" i="162"/>
  <c r="J113"/>
  <c r="J112"/>
  <c r="J111"/>
  <c r="J110"/>
  <c r="J109"/>
  <c r="J108"/>
  <c r="J107"/>
  <c r="J106"/>
  <c r="J105"/>
  <c r="J104"/>
  <c r="J103"/>
  <c r="J102"/>
  <c r="J101"/>
  <c r="J95"/>
  <c r="J94"/>
  <c r="J93"/>
  <c r="J92"/>
  <c r="J91"/>
  <c r="J90"/>
  <c r="J89"/>
  <c r="J88"/>
  <c r="J87"/>
  <c r="J86"/>
  <c r="J85"/>
  <c r="J84"/>
  <c r="J83"/>
  <c r="J82"/>
  <c r="J76"/>
  <c r="J75"/>
  <c r="J74"/>
  <c r="J73"/>
  <c r="J72"/>
  <c r="J71"/>
  <c r="J70"/>
  <c r="J69"/>
  <c r="J68"/>
  <c r="J67"/>
  <c r="J66"/>
  <c r="J65"/>
  <c r="J64"/>
  <c r="J63"/>
  <c r="J57"/>
  <c r="J56"/>
  <c r="J55"/>
  <c r="J54"/>
  <c r="J53"/>
  <c r="J52"/>
  <c r="J51"/>
  <c r="J50"/>
  <c r="J49"/>
  <c r="J48"/>
  <c r="J47"/>
  <c r="J46"/>
  <c r="J45"/>
  <c r="J44"/>
  <c r="J38"/>
  <c r="J37"/>
  <c r="J36"/>
  <c r="J35"/>
  <c r="J34"/>
  <c r="J33"/>
  <c r="J32"/>
  <c r="J31"/>
  <c r="J30"/>
  <c r="J29"/>
  <c r="J28"/>
  <c r="J27"/>
  <c r="J26"/>
  <c r="J25"/>
  <c r="J19"/>
  <c r="J18"/>
  <c r="J17"/>
  <c r="J16"/>
  <c r="J15"/>
  <c r="J14"/>
  <c r="J13"/>
  <c r="J12"/>
  <c r="J11"/>
  <c r="J10"/>
  <c r="J9"/>
  <c r="J8"/>
  <c r="J7"/>
  <c r="J6"/>
  <c r="J120" i="161"/>
  <c r="J119"/>
  <c r="J118"/>
  <c r="J117"/>
  <c r="J116"/>
  <c r="J115"/>
  <c r="J114"/>
  <c r="J113"/>
  <c r="J112"/>
  <c r="J111"/>
  <c r="J110"/>
  <c r="J109"/>
  <c r="J108"/>
  <c r="J107"/>
  <c r="J100"/>
  <c r="J99"/>
  <c r="J98"/>
  <c r="J97"/>
  <c r="J96"/>
  <c r="J95"/>
  <c r="J94"/>
  <c r="J93"/>
  <c r="J92"/>
  <c r="J91"/>
  <c r="J90"/>
  <c r="J89"/>
  <c r="J88"/>
  <c r="J87"/>
  <c r="J80"/>
  <c r="J79"/>
  <c r="J78"/>
  <c r="J77"/>
  <c r="J76"/>
  <c r="J75"/>
  <c r="J74"/>
  <c r="J73"/>
  <c r="J72"/>
  <c r="J71"/>
  <c r="J70"/>
  <c r="J69"/>
  <c r="J68"/>
  <c r="J67"/>
  <c r="J60"/>
  <c r="J59"/>
  <c r="J58"/>
  <c r="J57"/>
  <c r="J56"/>
  <c r="J55"/>
  <c r="J54"/>
  <c r="J53"/>
  <c r="J52"/>
  <c r="J51"/>
  <c r="J50"/>
  <c r="J49"/>
  <c r="J48"/>
  <c r="J47"/>
  <c r="J40"/>
  <c r="J39"/>
  <c r="J38"/>
  <c r="J37"/>
  <c r="J36"/>
  <c r="J35"/>
  <c r="J34"/>
  <c r="J33"/>
  <c r="J32"/>
  <c r="J31"/>
  <c r="J30"/>
  <c r="J29"/>
  <c r="J28"/>
  <c r="J27"/>
  <c r="J8"/>
  <c r="J20"/>
  <c r="J19"/>
  <c r="J18"/>
  <c r="J17"/>
  <c r="J16"/>
  <c r="J15"/>
  <c r="J14"/>
  <c r="J13"/>
  <c r="J12"/>
  <c r="J11"/>
  <c r="J10"/>
  <c r="J9"/>
  <c r="J7"/>
  <c r="K18" i="160"/>
  <c r="K17"/>
  <c r="K16"/>
  <c r="K15"/>
  <c r="K14"/>
  <c r="K13"/>
  <c r="K12"/>
  <c r="K11"/>
  <c r="K10"/>
  <c r="K9"/>
  <c r="K8"/>
  <c r="K7"/>
  <c r="K6"/>
  <c r="K5"/>
  <c r="A98" i="162"/>
  <c r="F32" i="2"/>
  <c r="F11" i="140"/>
  <c r="D10"/>
  <c r="C10"/>
  <c r="D9"/>
  <c r="C9"/>
  <c r="D8"/>
  <c r="F8" s="1"/>
  <c r="C8"/>
  <c r="E11" i="2"/>
  <c r="E21"/>
  <c r="E19"/>
  <c r="E18"/>
  <c r="D131" i="18"/>
  <c r="E31" i="2" s="1"/>
  <c r="D129" i="18"/>
  <c r="E30" i="2" s="1"/>
  <c r="D17" i="18"/>
  <c r="D15"/>
  <c r="K17" i="171"/>
  <c r="K16"/>
  <c r="K14"/>
  <c r="K13"/>
  <c r="K11"/>
  <c r="K10"/>
  <c r="K8"/>
  <c r="K7"/>
  <c r="K6"/>
  <c r="K5"/>
  <c r="K4"/>
  <c r="K3"/>
  <c r="K17" i="170"/>
  <c r="K16"/>
  <c r="K14"/>
  <c r="K13"/>
  <c r="K11"/>
  <c r="K10"/>
  <c r="K8"/>
  <c r="K7"/>
  <c r="K6"/>
  <c r="K5"/>
  <c r="K4"/>
  <c r="K3"/>
  <c r="K18" i="169"/>
  <c r="K17"/>
  <c r="K15"/>
  <c r="K14"/>
  <c r="K12"/>
  <c r="K11"/>
  <c r="K10"/>
  <c r="K8"/>
  <c r="K7"/>
  <c r="K6"/>
  <c r="K5"/>
  <c r="K4"/>
  <c r="K3"/>
  <c r="L22" i="168"/>
  <c r="L21"/>
  <c r="L23" s="1"/>
  <c r="L20"/>
  <c r="L19"/>
  <c r="L18"/>
  <c r="L17"/>
  <c r="L16"/>
  <c r="L15"/>
  <c r="L13"/>
  <c r="L12"/>
  <c r="L14" s="1"/>
  <c r="L10"/>
  <c r="L9"/>
  <c r="L11" s="1"/>
  <c r="F8" i="165" s="1"/>
  <c r="L8" i="168"/>
  <c r="L7"/>
  <c r="L6"/>
  <c r="L5"/>
  <c r="L4"/>
  <c r="L3"/>
  <c r="L22" i="167"/>
  <c r="L21"/>
  <c r="L19"/>
  <c r="L20" s="1"/>
  <c r="J7" i="165" s="1"/>
  <c r="L18" i="167"/>
  <c r="L16"/>
  <c r="L15"/>
  <c r="L17" s="1"/>
  <c r="K7" i="165" s="1"/>
  <c r="L13" i="167"/>
  <c r="L12"/>
  <c r="L10"/>
  <c r="L9"/>
  <c r="L11" s="1"/>
  <c r="F7" i="165" s="1"/>
  <c r="L7" i="167"/>
  <c r="L6"/>
  <c r="L4"/>
  <c r="L3"/>
  <c r="L22" i="166"/>
  <c r="L21"/>
  <c r="L19"/>
  <c r="L18"/>
  <c r="L16"/>
  <c r="L15"/>
  <c r="L13"/>
  <c r="L12"/>
  <c r="L10"/>
  <c r="L9"/>
  <c r="L7"/>
  <c r="L6"/>
  <c r="L4"/>
  <c r="L3"/>
  <c r="J17" i="171"/>
  <c r="I17"/>
  <c r="J16"/>
  <c r="I16"/>
  <c r="J17" i="170"/>
  <c r="I17"/>
  <c r="J16"/>
  <c r="I16"/>
  <c r="J18" i="169"/>
  <c r="I18"/>
  <c r="J17"/>
  <c r="I17"/>
  <c r="J13" i="165"/>
  <c r="F26" i="2" s="1"/>
  <c r="H19" i="165"/>
  <c r="H16"/>
  <c r="H13"/>
  <c r="B8"/>
  <c r="B7"/>
  <c r="B6"/>
  <c r="P8"/>
  <c r="P7"/>
  <c r="P6"/>
  <c r="I22" i="168"/>
  <c r="I21"/>
  <c r="I22" i="167"/>
  <c r="I21"/>
  <c r="I22" i="166"/>
  <c r="I21"/>
  <c r="L8"/>
  <c r="G6" i="165" s="1"/>
  <c r="J14" i="171"/>
  <c r="I14"/>
  <c r="J13"/>
  <c r="I13"/>
  <c r="J11"/>
  <c r="I11"/>
  <c r="J10"/>
  <c r="I10"/>
  <c r="J8"/>
  <c r="I8"/>
  <c r="J7"/>
  <c r="I7"/>
  <c r="J6"/>
  <c r="I6"/>
  <c r="J5"/>
  <c r="I5"/>
  <c r="J4"/>
  <c r="I4"/>
  <c r="J3"/>
  <c r="I3"/>
  <c r="J14" i="170"/>
  <c r="I14"/>
  <c r="J13"/>
  <c r="I13"/>
  <c r="J11"/>
  <c r="I11"/>
  <c r="J10"/>
  <c r="I10"/>
  <c r="J8"/>
  <c r="I8"/>
  <c r="J7"/>
  <c r="I7"/>
  <c r="J6"/>
  <c r="I6"/>
  <c r="J5"/>
  <c r="I5"/>
  <c r="J4"/>
  <c r="I4"/>
  <c r="J3"/>
  <c r="I3"/>
  <c r="J15" i="169"/>
  <c r="I15"/>
  <c r="J14"/>
  <c r="I14"/>
  <c r="J12"/>
  <c r="I12"/>
  <c r="J11"/>
  <c r="I11"/>
  <c r="J10"/>
  <c r="I10"/>
  <c r="J8"/>
  <c r="I8"/>
  <c r="J7"/>
  <c r="I7"/>
  <c r="J6"/>
  <c r="I6"/>
  <c r="J5"/>
  <c r="I5"/>
  <c r="J4"/>
  <c r="I4"/>
  <c r="J3"/>
  <c r="I3"/>
  <c r="I19" i="168"/>
  <c r="I18"/>
  <c r="I16"/>
  <c r="I15"/>
  <c r="I13"/>
  <c r="I12"/>
  <c r="I10"/>
  <c r="I9"/>
  <c r="I7"/>
  <c r="I6"/>
  <c r="I4"/>
  <c r="I3"/>
  <c r="I19" i="167"/>
  <c r="I18"/>
  <c r="I16"/>
  <c r="I15"/>
  <c r="I13"/>
  <c r="L14"/>
  <c r="E7" i="165" s="1"/>
  <c r="I12" i="167"/>
  <c r="I10"/>
  <c r="I9"/>
  <c r="I7"/>
  <c r="I6"/>
  <c r="I4"/>
  <c r="L5"/>
  <c r="C7" i="165" s="1"/>
  <c r="I3" i="167"/>
  <c r="I19" i="166"/>
  <c r="I18"/>
  <c r="I16"/>
  <c r="L17"/>
  <c r="K6" i="165" s="1"/>
  <c r="I15" i="166"/>
  <c r="I13"/>
  <c r="I12"/>
  <c r="I10"/>
  <c r="I9"/>
  <c r="I7"/>
  <c r="I6"/>
  <c r="I4"/>
  <c r="I3"/>
  <c r="K28" i="165"/>
  <c r="K27"/>
  <c r="K26"/>
  <c r="F21"/>
  <c r="F20"/>
  <c r="F19"/>
  <c r="G19" s="1"/>
  <c r="C19"/>
  <c r="F18"/>
  <c r="F17"/>
  <c r="G16"/>
  <c r="F16"/>
  <c r="C16"/>
  <c r="F15"/>
  <c r="F14"/>
  <c r="C14"/>
  <c r="C20" s="1"/>
  <c r="F13"/>
  <c r="G13" s="1"/>
  <c r="B28"/>
  <c r="D1" i="167"/>
  <c r="B26" i="165"/>
  <c r="F24" i="2"/>
  <c r="E24"/>
  <c r="L14" i="31"/>
  <c r="J16"/>
  <c r="J15"/>
  <c r="J14"/>
  <c r="I16"/>
  <c r="H16"/>
  <c r="G16"/>
  <c r="H15"/>
  <c r="I15"/>
  <c r="G15"/>
  <c r="H14"/>
  <c r="I14"/>
  <c r="G14"/>
  <c r="K28"/>
  <c r="J28"/>
  <c r="I28"/>
  <c r="K26"/>
  <c r="J26"/>
  <c r="I26"/>
  <c r="K24"/>
  <c r="J24"/>
  <c r="I24"/>
  <c r="I23"/>
  <c r="B16"/>
  <c r="B15"/>
  <c r="B14"/>
  <c r="K16"/>
  <c r="H28" i="122"/>
  <c r="I28" s="1"/>
  <c r="H27"/>
  <c r="I27" s="1"/>
  <c r="H26"/>
  <c r="I26" s="1"/>
  <c r="H7"/>
  <c r="H6"/>
  <c r="H5"/>
  <c r="G28"/>
  <c r="G27"/>
  <c r="G26"/>
  <c r="G7"/>
  <c r="G6"/>
  <c r="G5"/>
  <c r="J23" i="31"/>
  <c r="K23"/>
  <c r="K14"/>
  <c r="I25"/>
  <c r="J25"/>
  <c r="K25"/>
  <c r="K15"/>
  <c r="I27"/>
  <c r="J27"/>
  <c r="K27"/>
  <c r="H46" i="122"/>
  <c r="I46" s="1"/>
  <c r="D9" i="31" s="1"/>
  <c r="H21" i="122"/>
  <c r="H20"/>
  <c r="H19"/>
  <c r="H14"/>
  <c r="H13"/>
  <c r="H12"/>
  <c r="D135" i="18" l="1"/>
  <c r="B21" i="2"/>
  <c r="K12" i="171"/>
  <c r="K18"/>
  <c r="K19" i="169"/>
  <c r="I26" i="165" s="1"/>
  <c r="K9" i="170"/>
  <c r="C27" i="165" s="1"/>
  <c r="K15" i="170"/>
  <c r="K15" i="171"/>
  <c r="G28" i="165" s="1"/>
  <c r="K18" i="170"/>
  <c r="I28" i="165" s="1"/>
  <c r="K12" i="170"/>
  <c r="E27" i="165" s="1"/>
  <c r="G27"/>
  <c r="K13" i="169"/>
  <c r="E26" i="165" s="1"/>
  <c r="L11" i="166"/>
  <c r="F6" i="165" s="1"/>
  <c r="L5" i="166"/>
  <c r="C6" i="165" s="1"/>
  <c r="D6" s="1"/>
  <c r="L20" i="166"/>
  <c r="J6" i="165" s="1"/>
  <c r="L6" s="1"/>
  <c r="L23" i="166"/>
  <c r="N6" i="165" s="1"/>
  <c r="L14" i="166"/>
  <c r="E6" i="165" s="1"/>
  <c r="L8" i="167"/>
  <c r="G7" i="165" s="1"/>
  <c r="L23" i="167"/>
  <c r="N7" i="165" s="1"/>
  <c r="E8"/>
  <c r="K8"/>
  <c r="J8"/>
  <c r="C8"/>
  <c r="G8"/>
  <c r="L8"/>
  <c r="L7"/>
  <c r="I13"/>
  <c r="H8"/>
  <c r="H6"/>
  <c r="H7"/>
  <c r="K9" i="169"/>
  <c r="C26" i="165" s="1"/>
  <c r="K9" i="171"/>
  <c r="C28" i="165" s="1"/>
  <c r="E28"/>
  <c r="K16" i="169"/>
  <c r="G26" i="165" s="1"/>
  <c r="C17"/>
  <c r="B19"/>
  <c r="D1" i="166"/>
  <c r="D1" i="168"/>
  <c r="B16" i="165"/>
  <c r="B27"/>
  <c r="B13"/>
  <c r="C15"/>
  <c r="I29" i="122"/>
  <c r="I27" i="165" l="1"/>
  <c r="J26" s="1"/>
  <c r="D26"/>
  <c r="H26"/>
  <c r="F26"/>
  <c r="O6"/>
  <c r="M6"/>
  <c r="I6"/>
  <c r="C18"/>
  <c r="C21"/>
  <c r="B39" i="122"/>
  <c r="B45" s="1"/>
  <c r="B38"/>
  <c r="B44" s="1"/>
  <c r="B37"/>
  <c r="B43" s="1"/>
  <c r="B36"/>
  <c r="B42" s="1"/>
  <c r="B35"/>
  <c r="B41" s="1"/>
  <c r="B34"/>
  <c r="B40" s="1"/>
  <c r="C28"/>
  <c r="C27"/>
  <c r="C26"/>
  <c r="B28"/>
  <c r="B27"/>
  <c r="B26"/>
  <c r="C21"/>
  <c r="I21" s="1"/>
  <c r="B21"/>
  <c r="C20"/>
  <c r="I20" s="1"/>
  <c r="B20"/>
  <c r="C19"/>
  <c r="I19" s="1"/>
  <c r="B19"/>
  <c r="C14"/>
  <c r="I14" s="1"/>
  <c r="B14"/>
  <c r="C13"/>
  <c r="I13" s="1"/>
  <c r="B13"/>
  <c r="C12"/>
  <c r="I12" s="1"/>
  <c r="B12"/>
  <c r="C7"/>
  <c r="C6"/>
  <c r="I6" s="1"/>
  <c r="C5"/>
  <c r="B7"/>
  <c r="B6"/>
  <c r="B5"/>
  <c r="E22" i="2"/>
  <c r="C8" i="9"/>
  <c r="C5"/>
  <c r="G10"/>
  <c r="G9"/>
  <c r="G8"/>
  <c r="G7"/>
  <c r="G6"/>
  <c r="G5"/>
  <c r="E7"/>
  <c r="E6"/>
  <c r="B44" i="95"/>
  <c r="B23"/>
  <c r="M63"/>
  <c r="E10" i="9" s="1"/>
  <c r="M42" i="95"/>
  <c r="E9" i="9" s="1"/>
  <c r="M21" i="95"/>
  <c r="E8" i="9" s="1"/>
  <c r="M62" i="95"/>
  <c r="M61"/>
  <c r="L61"/>
  <c r="M60"/>
  <c r="L60"/>
  <c r="M59"/>
  <c r="L59"/>
  <c r="M58"/>
  <c r="L58"/>
  <c r="M57"/>
  <c r="L57"/>
  <c r="M56"/>
  <c r="L56"/>
  <c r="M55"/>
  <c r="L55"/>
  <c r="M54"/>
  <c r="L54"/>
  <c r="M53"/>
  <c r="L53"/>
  <c r="M52"/>
  <c r="L52"/>
  <c r="M51"/>
  <c r="L51"/>
  <c r="M50"/>
  <c r="L50"/>
  <c r="M49"/>
  <c r="L49"/>
  <c r="M48"/>
  <c r="L48"/>
  <c r="L62" s="1"/>
  <c r="M47"/>
  <c r="L47"/>
  <c r="M40"/>
  <c r="L40"/>
  <c r="M39"/>
  <c r="L39"/>
  <c r="M38"/>
  <c r="L38"/>
  <c r="M37"/>
  <c r="L37"/>
  <c r="M36"/>
  <c r="L36"/>
  <c r="M35"/>
  <c r="L35"/>
  <c r="M34"/>
  <c r="L34"/>
  <c r="M33"/>
  <c r="L33"/>
  <c r="M32"/>
  <c r="L32"/>
  <c r="M31"/>
  <c r="L31"/>
  <c r="M30"/>
  <c r="L30"/>
  <c r="M29"/>
  <c r="L29"/>
  <c r="M28"/>
  <c r="L28"/>
  <c r="M27"/>
  <c r="M41" s="1"/>
  <c r="L27"/>
  <c r="L41" s="1"/>
  <c r="M26"/>
  <c r="L26"/>
  <c r="E5" i="9"/>
  <c r="D7"/>
  <c r="M20" i="95"/>
  <c r="M19"/>
  <c r="M18"/>
  <c r="M17"/>
  <c r="M16"/>
  <c r="M15"/>
  <c r="M14"/>
  <c r="M13"/>
  <c r="M12"/>
  <c r="M11"/>
  <c r="M10"/>
  <c r="M9"/>
  <c r="M8"/>
  <c r="M7"/>
  <c r="M6"/>
  <c r="M5"/>
  <c r="L19"/>
  <c r="L18"/>
  <c r="L17"/>
  <c r="L16"/>
  <c r="L15"/>
  <c r="L14"/>
  <c r="L13"/>
  <c r="L12"/>
  <c r="L11"/>
  <c r="L10"/>
  <c r="L9"/>
  <c r="L8"/>
  <c r="L7"/>
  <c r="L6"/>
  <c r="L20" s="1"/>
  <c r="L5"/>
  <c r="B2"/>
  <c r="J94" i="18"/>
  <c r="I94"/>
  <c r="H94"/>
  <c r="G94"/>
  <c r="F94"/>
  <c r="J92"/>
  <c r="I92"/>
  <c r="H92"/>
  <c r="G92"/>
  <c r="F92"/>
  <c r="J93"/>
  <c r="I93"/>
  <c r="H93"/>
  <c r="G93"/>
  <c r="F93"/>
  <c r="J91"/>
  <c r="I91"/>
  <c r="H91"/>
  <c r="G91"/>
  <c r="F91"/>
  <c r="G114" i="162"/>
  <c r="G113"/>
  <c r="G112"/>
  <c r="G111"/>
  <c r="G110"/>
  <c r="G109"/>
  <c r="G108"/>
  <c r="G107"/>
  <c r="G106"/>
  <c r="G105"/>
  <c r="G104"/>
  <c r="G103"/>
  <c r="G102"/>
  <c r="G101"/>
  <c r="G95"/>
  <c r="G94"/>
  <c r="G93"/>
  <c r="G92"/>
  <c r="G91"/>
  <c r="G90"/>
  <c r="G89"/>
  <c r="G88"/>
  <c r="G87"/>
  <c r="G86"/>
  <c r="G85"/>
  <c r="G84"/>
  <c r="G83"/>
  <c r="G82"/>
  <c r="A79"/>
  <c r="G76"/>
  <c r="G75"/>
  <c r="G74"/>
  <c r="G73"/>
  <c r="G72"/>
  <c r="G71"/>
  <c r="G70"/>
  <c r="G69"/>
  <c r="G68"/>
  <c r="G67"/>
  <c r="G66"/>
  <c r="G65"/>
  <c r="G64"/>
  <c r="G63"/>
  <c r="A60"/>
  <c r="G57"/>
  <c r="G56"/>
  <c r="G55"/>
  <c r="G54"/>
  <c r="G53"/>
  <c r="G52"/>
  <c r="G51"/>
  <c r="G50"/>
  <c r="G49"/>
  <c r="G48"/>
  <c r="G47"/>
  <c r="G46"/>
  <c r="G45"/>
  <c r="G44"/>
  <c r="A41"/>
  <c r="G38"/>
  <c r="G37"/>
  <c r="G36"/>
  <c r="G35"/>
  <c r="G34"/>
  <c r="G33"/>
  <c r="G32"/>
  <c r="G31"/>
  <c r="G30"/>
  <c r="G29"/>
  <c r="G28"/>
  <c r="G27"/>
  <c r="G26"/>
  <c r="G25"/>
  <c r="A22"/>
  <c r="G19"/>
  <c r="G18"/>
  <c r="G17"/>
  <c r="G16"/>
  <c r="G15"/>
  <c r="G14"/>
  <c r="G13"/>
  <c r="G12"/>
  <c r="G11"/>
  <c r="G10"/>
  <c r="G9"/>
  <c r="G8"/>
  <c r="G7"/>
  <c r="G6"/>
  <c r="A3"/>
  <c r="A103" i="161"/>
  <c r="A83"/>
  <c r="A63"/>
  <c r="A43"/>
  <c r="A23"/>
  <c r="A3"/>
  <c r="G120"/>
  <c r="G119"/>
  <c r="G118"/>
  <c r="G117"/>
  <c r="G116"/>
  <c r="G115"/>
  <c r="G114"/>
  <c r="G113"/>
  <c r="G112"/>
  <c r="G111"/>
  <c r="G110"/>
  <c r="G109"/>
  <c r="G108"/>
  <c r="G107"/>
  <c r="G100"/>
  <c r="G99"/>
  <c r="G98"/>
  <c r="G97"/>
  <c r="G96"/>
  <c r="G95"/>
  <c r="G94"/>
  <c r="G93"/>
  <c r="G92"/>
  <c r="G91"/>
  <c r="G90"/>
  <c r="G89"/>
  <c r="G88"/>
  <c r="G87"/>
  <c r="G80"/>
  <c r="G79"/>
  <c r="G78"/>
  <c r="G77"/>
  <c r="G76"/>
  <c r="G75"/>
  <c r="G74"/>
  <c r="G73"/>
  <c r="G72"/>
  <c r="G71"/>
  <c r="G70"/>
  <c r="G69"/>
  <c r="G68"/>
  <c r="G67"/>
  <c r="G60"/>
  <c r="G59"/>
  <c r="G58"/>
  <c r="G57"/>
  <c r="G56"/>
  <c r="G55"/>
  <c r="G54"/>
  <c r="G53"/>
  <c r="G52"/>
  <c r="G51"/>
  <c r="G50"/>
  <c r="G49"/>
  <c r="G48"/>
  <c r="G47"/>
  <c r="G40"/>
  <c r="G39"/>
  <c r="G38"/>
  <c r="G37"/>
  <c r="G36"/>
  <c r="G35"/>
  <c r="G34"/>
  <c r="G33"/>
  <c r="G32"/>
  <c r="G31"/>
  <c r="G30"/>
  <c r="G29"/>
  <c r="G28"/>
  <c r="G27"/>
  <c r="G20"/>
  <c r="G19"/>
  <c r="G18"/>
  <c r="G17"/>
  <c r="G16"/>
  <c r="G15"/>
  <c r="G14"/>
  <c r="G13"/>
  <c r="G12"/>
  <c r="G11"/>
  <c r="G10"/>
  <c r="G9"/>
  <c r="G8"/>
  <c r="G7"/>
  <c r="H18" i="160"/>
  <c r="H17"/>
  <c r="H16"/>
  <c r="H15"/>
  <c r="H14"/>
  <c r="H13"/>
  <c r="H12"/>
  <c r="H11"/>
  <c r="H10"/>
  <c r="H9"/>
  <c r="H8"/>
  <c r="H7"/>
  <c r="H6"/>
  <c r="H5"/>
  <c r="J10" i="159"/>
  <c r="J9"/>
  <c r="K9" s="1"/>
  <c r="K10"/>
  <c r="K8"/>
  <c r="K7"/>
  <c r="K6"/>
  <c r="J8"/>
  <c r="J7"/>
  <c r="A3" i="2"/>
  <c r="J6" i="159"/>
  <c r="E6"/>
  <c r="D35" i="7"/>
  <c r="C35"/>
  <c r="G10" i="102"/>
  <c r="G18"/>
  <c r="E30" i="7"/>
  <c r="E28"/>
  <c r="E26"/>
  <c r="E24"/>
  <c r="E18"/>
  <c r="E16"/>
  <c r="E14"/>
  <c r="E12"/>
  <c r="E7"/>
  <c r="E4"/>
  <c r="E6" i="2"/>
  <c r="K112" i="158"/>
  <c r="H112"/>
  <c r="K111"/>
  <c r="H111"/>
  <c r="K110"/>
  <c r="H110"/>
  <c r="K109"/>
  <c r="H109"/>
  <c r="K108"/>
  <c r="H108"/>
  <c r="K107"/>
  <c r="H107"/>
  <c r="K106"/>
  <c r="H106"/>
  <c r="K105"/>
  <c r="H105"/>
  <c r="K104"/>
  <c r="H104"/>
  <c r="K103"/>
  <c r="H103"/>
  <c r="K102"/>
  <c r="H102"/>
  <c r="K101"/>
  <c r="H101"/>
  <c r="K100"/>
  <c r="H100"/>
  <c r="K99"/>
  <c r="H99"/>
  <c r="A96"/>
  <c r="K93"/>
  <c r="H93"/>
  <c r="K92"/>
  <c r="H92"/>
  <c r="K91"/>
  <c r="H91"/>
  <c r="K90"/>
  <c r="H90"/>
  <c r="K89"/>
  <c r="H89"/>
  <c r="K88"/>
  <c r="H88"/>
  <c r="K87"/>
  <c r="H87"/>
  <c r="K86"/>
  <c r="H86"/>
  <c r="K85"/>
  <c r="H85"/>
  <c r="K84"/>
  <c r="H84"/>
  <c r="K83"/>
  <c r="H83"/>
  <c r="K82"/>
  <c r="H82"/>
  <c r="K81"/>
  <c r="H81"/>
  <c r="K80"/>
  <c r="H80"/>
  <c r="A77"/>
  <c r="K74"/>
  <c r="H74"/>
  <c r="K73"/>
  <c r="H73"/>
  <c r="K72"/>
  <c r="H72"/>
  <c r="K71"/>
  <c r="H71"/>
  <c r="K70"/>
  <c r="H70"/>
  <c r="K69"/>
  <c r="H69"/>
  <c r="K68"/>
  <c r="H68"/>
  <c r="K67"/>
  <c r="H67"/>
  <c r="K66"/>
  <c r="L66" s="1"/>
  <c r="O66" s="1"/>
  <c r="H66"/>
  <c r="K65"/>
  <c r="H65"/>
  <c r="K64"/>
  <c r="H64"/>
  <c r="K63"/>
  <c r="H63"/>
  <c r="K62"/>
  <c r="H62"/>
  <c r="K61"/>
  <c r="H61"/>
  <c r="A58"/>
  <c r="K55"/>
  <c r="H55"/>
  <c r="K54"/>
  <c r="H54"/>
  <c r="K53"/>
  <c r="H53"/>
  <c r="K52"/>
  <c r="H52"/>
  <c r="K51"/>
  <c r="H51"/>
  <c r="K50"/>
  <c r="H50"/>
  <c r="K49"/>
  <c r="H49"/>
  <c r="K48"/>
  <c r="H48"/>
  <c r="K47"/>
  <c r="H47"/>
  <c r="K46"/>
  <c r="H46"/>
  <c r="K45"/>
  <c r="H45"/>
  <c r="K44"/>
  <c r="H44"/>
  <c r="K43"/>
  <c r="H43"/>
  <c r="K42"/>
  <c r="H42"/>
  <c r="A39"/>
  <c r="K36"/>
  <c r="H36"/>
  <c r="K35"/>
  <c r="L35" s="1"/>
  <c r="O35" s="1"/>
  <c r="H35"/>
  <c r="K34"/>
  <c r="H34"/>
  <c r="K33"/>
  <c r="L33" s="1"/>
  <c r="O33" s="1"/>
  <c r="H33"/>
  <c r="K32"/>
  <c r="L32" s="1"/>
  <c r="O32" s="1"/>
  <c r="H32"/>
  <c r="K31"/>
  <c r="H31"/>
  <c r="K30"/>
  <c r="L30" s="1"/>
  <c r="O30" s="1"/>
  <c r="H30"/>
  <c r="K29"/>
  <c r="H29"/>
  <c r="K28"/>
  <c r="H28"/>
  <c r="K27"/>
  <c r="H27"/>
  <c r="K26"/>
  <c r="L26" s="1"/>
  <c r="O26" s="1"/>
  <c r="H26"/>
  <c r="K25"/>
  <c r="H25"/>
  <c r="K24"/>
  <c r="H24"/>
  <c r="L24" s="1"/>
  <c r="O24" s="1"/>
  <c r="K23"/>
  <c r="H23"/>
  <c r="A20"/>
  <c r="K17"/>
  <c r="H17"/>
  <c r="K16"/>
  <c r="H16"/>
  <c r="K15"/>
  <c r="H15"/>
  <c r="K14"/>
  <c r="H14"/>
  <c r="K13"/>
  <c r="H13"/>
  <c r="K12"/>
  <c r="H12"/>
  <c r="K11"/>
  <c r="H11"/>
  <c r="K10"/>
  <c r="H10"/>
  <c r="K9"/>
  <c r="H9"/>
  <c r="K8"/>
  <c r="H8"/>
  <c r="K7"/>
  <c r="H7"/>
  <c r="K6"/>
  <c r="H6"/>
  <c r="K5"/>
  <c r="H5"/>
  <c r="K4"/>
  <c r="H4"/>
  <c r="A1"/>
  <c r="A96" i="143"/>
  <c r="A77"/>
  <c r="A58"/>
  <c r="A39"/>
  <c r="K112"/>
  <c r="H112"/>
  <c r="K111"/>
  <c r="H111"/>
  <c r="K110"/>
  <c r="H110"/>
  <c r="K109"/>
  <c r="H109"/>
  <c r="K108"/>
  <c r="H108"/>
  <c r="K107"/>
  <c r="H107"/>
  <c r="K106"/>
  <c r="H106"/>
  <c r="K105"/>
  <c r="H105"/>
  <c r="K104"/>
  <c r="H104"/>
  <c r="K103"/>
  <c r="H103"/>
  <c r="K102"/>
  <c r="H102"/>
  <c r="K101"/>
  <c r="H101"/>
  <c r="K100"/>
  <c r="H100"/>
  <c r="K99"/>
  <c r="H99"/>
  <c r="K93"/>
  <c r="H93"/>
  <c r="K92"/>
  <c r="H92"/>
  <c r="K91"/>
  <c r="H91"/>
  <c r="K90"/>
  <c r="H90"/>
  <c r="K89"/>
  <c r="H89"/>
  <c r="K88"/>
  <c r="H88"/>
  <c r="K87"/>
  <c r="H87"/>
  <c r="K86"/>
  <c r="H86"/>
  <c r="K85"/>
  <c r="H85"/>
  <c r="K84"/>
  <c r="H84"/>
  <c r="K83"/>
  <c r="H83"/>
  <c r="K82"/>
  <c r="H82"/>
  <c r="K81"/>
  <c r="H81"/>
  <c r="K80"/>
  <c r="H80"/>
  <c r="K74"/>
  <c r="L74" s="1"/>
  <c r="O74" s="1"/>
  <c r="H74"/>
  <c r="K73"/>
  <c r="H73"/>
  <c r="K72"/>
  <c r="L72" s="1"/>
  <c r="O72" s="1"/>
  <c r="H72"/>
  <c r="K71"/>
  <c r="H71"/>
  <c r="K70"/>
  <c r="L70" s="1"/>
  <c r="O70" s="1"/>
  <c r="H70"/>
  <c r="K69"/>
  <c r="L69" s="1"/>
  <c r="O69" s="1"/>
  <c r="H69"/>
  <c r="K68"/>
  <c r="H68"/>
  <c r="K67"/>
  <c r="H67"/>
  <c r="K66"/>
  <c r="H66"/>
  <c r="L65"/>
  <c r="O65" s="1"/>
  <c r="K65"/>
  <c r="H65"/>
  <c r="K64"/>
  <c r="H64"/>
  <c r="K63"/>
  <c r="H63"/>
  <c r="K62"/>
  <c r="L62" s="1"/>
  <c r="O62" s="1"/>
  <c r="H62"/>
  <c r="K61"/>
  <c r="H61"/>
  <c r="K55"/>
  <c r="H55"/>
  <c r="K54"/>
  <c r="H54"/>
  <c r="K53"/>
  <c r="H53"/>
  <c r="K52"/>
  <c r="H52"/>
  <c r="K51"/>
  <c r="H51"/>
  <c r="K50"/>
  <c r="H50"/>
  <c r="K49"/>
  <c r="H49"/>
  <c r="K48"/>
  <c r="H48"/>
  <c r="K47"/>
  <c r="H47"/>
  <c r="K46"/>
  <c r="H46"/>
  <c r="K45"/>
  <c r="H45"/>
  <c r="K44"/>
  <c r="H44"/>
  <c r="K43"/>
  <c r="H43"/>
  <c r="K42"/>
  <c r="H42"/>
  <c r="A20"/>
  <c r="K22" i="7"/>
  <c r="K13" s="1"/>
  <c r="J22"/>
  <c r="J13" s="1"/>
  <c r="K10"/>
  <c r="J10"/>
  <c r="A1" i="143"/>
  <c r="K36"/>
  <c r="H36"/>
  <c r="K35"/>
  <c r="H35"/>
  <c r="K34"/>
  <c r="H34"/>
  <c r="K33"/>
  <c r="L33" s="1"/>
  <c r="O33" s="1"/>
  <c r="H33"/>
  <c r="K32"/>
  <c r="H32"/>
  <c r="K31"/>
  <c r="L31" s="1"/>
  <c r="O31" s="1"/>
  <c r="H31"/>
  <c r="K30"/>
  <c r="H30"/>
  <c r="K29"/>
  <c r="L29" s="1"/>
  <c r="O29" s="1"/>
  <c r="H29"/>
  <c r="K28"/>
  <c r="H28"/>
  <c r="K27"/>
  <c r="L27" s="1"/>
  <c r="O27" s="1"/>
  <c r="H27"/>
  <c r="K26"/>
  <c r="H26"/>
  <c r="K25"/>
  <c r="L25" s="1"/>
  <c r="O25" s="1"/>
  <c r="H25"/>
  <c r="K24"/>
  <c r="H24"/>
  <c r="K23"/>
  <c r="L23" s="1"/>
  <c r="O23" s="1"/>
  <c r="H23"/>
  <c r="K17"/>
  <c r="H17"/>
  <c r="K16"/>
  <c r="L16" s="1"/>
  <c r="O16" s="1"/>
  <c r="H16"/>
  <c r="K15"/>
  <c r="H15"/>
  <c r="K14"/>
  <c r="L14" s="1"/>
  <c r="O14" s="1"/>
  <c r="H14"/>
  <c r="K13"/>
  <c r="H13"/>
  <c r="K12"/>
  <c r="H12"/>
  <c r="K11"/>
  <c r="H11"/>
  <c r="K10"/>
  <c r="H10"/>
  <c r="K9"/>
  <c r="H9"/>
  <c r="K8"/>
  <c r="L8" s="1"/>
  <c r="O8" s="1"/>
  <c r="H8"/>
  <c r="K7"/>
  <c r="H7"/>
  <c r="K6"/>
  <c r="L6" s="1"/>
  <c r="O6" s="1"/>
  <c r="H6"/>
  <c r="K5"/>
  <c r="H5"/>
  <c r="K4"/>
  <c r="H4"/>
  <c r="E27" i="18"/>
  <c r="E35" s="1"/>
  <c r="E51" s="1"/>
  <c r="E28"/>
  <c r="E44" s="1"/>
  <c r="G51"/>
  <c r="G52"/>
  <c r="C101" i="142"/>
  <c r="C52"/>
  <c r="C93"/>
  <c r="C85"/>
  <c r="C77"/>
  <c r="C69"/>
  <c r="C61"/>
  <c r="C44"/>
  <c r="C36"/>
  <c r="C28"/>
  <c r="C20"/>
  <c r="C12"/>
  <c r="C3"/>
  <c r="J18" i="85"/>
  <c r="J17"/>
  <c r="J16"/>
  <c r="J15"/>
  <c r="K15" s="1"/>
  <c r="N15" s="1"/>
  <c r="J14"/>
  <c r="J13"/>
  <c r="J12"/>
  <c r="J11"/>
  <c r="K11" s="1"/>
  <c r="N11" s="1"/>
  <c r="J10"/>
  <c r="J9"/>
  <c r="J8"/>
  <c r="J7"/>
  <c r="K7" s="1"/>
  <c r="N7" s="1"/>
  <c r="J6"/>
  <c r="G18"/>
  <c r="G17"/>
  <c r="G16"/>
  <c r="G15"/>
  <c r="G14"/>
  <c r="G13"/>
  <c r="G12"/>
  <c r="G11"/>
  <c r="G10"/>
  <c r="G9"/>
  <c r="G8"/>
  <c r="G7"/>
  <c r="G6"/>
  <c r="J5"/>
  <c r="G5"/>
  <c r="K5" s="1"/>
  <c r="N5" s="1"/>
  <c r="N22" i="18"/>
  <c r="J38" s="1"/>
  <c r="J44" s="1"/>
  <c r="N21"/>
  <c r="L62" s="1"/>
  <c r="H4" i="7"/>
  <c r="F6" i="2" s="1"/>
  <c r="E17"/>
  <c r="E16"/>
  <c r="E15"/>
  <c r="G84" i="18"/>
  <c r="G83"/>
  <c r="G82"/>
  <c r="G81"/>
  <c r="G80"/>
  <c r="G79"/>
  <c r="F78"/>
  <c r="F82" s="1"/>
  <c r="G50"/>
  <c r="G49"/>
  <c r="G48"/>
  <c r="G47"/>
  <c r="F46"/>
  <c r="F48" s="1"/>
  <c r="F20"/>
  <c r="E14" i="2"/>
  <c r="E13"/>
  <c r="E10"/>
  <c r="E8"/>
  <c r="E7"/>
  <c r="E12"/>
  <c r="E9"/>
  <c r="E33" s="1"/>
  <c r="N24" i="18"/>
  <c r="N23"/>
  <c r="L30" s="1"/>
  <c r="L35" s="1"/>
  <c r="N20"/>
  <c r="J22" s="1"/>
  <c r="J28" s="1"/>
  <c r="N19"/>
  <c r="K54" s="1"/>
  <c r="N17"/>
  <c r="G22" s="1"/>
  <c r="G27" s="1"/>
  <c r="N18"/>
  <c r="J54" s="1"/>
  <c r="G33" i="142"/>
  <c r="G32"/>
  <c r="G31"/>
  <c r="J114" i="18"/>
  <c r="I114"/>
  <c r="H114"/>
  <c r="G114"/>
  <c r="F114"/>
  <c r="E59"/>
  <c r="E26"/>
  <c r="E34" s="1"/>
  <c r="E50" s="1"/>
  <c r="E25"/>
  <c r="E33" s="1"/>
  <c r="E49" s="1"/>
  <c r="E24"/>
  <c r="E56" s="1"/>
  <c r="E23"/>
  <c r="E39" s="1"/>
  <c r="E3"/>
  <c r="C39" i="7" s="1"/>
  <c r="D5" i="140"/>
  <c r="D6"/>
  <c r="D7"/>
  <c r="C7"/>
  <c r="C6"/>
  <c r="C5"/>
  <c r="D9" i="18"/>
  <c r="D10" i="9"/>
  <c r="C4" i="7"/>
  <c r="C11" s="1"/>
  <c r="D9" i="9"/>
  <c r="D8"/>
  <c r="D6"/>
  <c r="D5"/>
  <c r="E23" i="2"/>
  <c r="F5" i="140"/>
  <c r="E32" i="18"/>
  <c r="E48" s="1"/>
  <c r="F84"/>
  <c r="F80"/>
  <c r="F79"/>
  <c r="F18"/>
  <c r="E40"/>
  <c r="E58"/>
  <c r="E74" s="1"/>
  <c r="E31"/>
  <c r="E47" s="1"/>
  <c r="J39" i="162" l="1"/>
  <c r="J58"/>
  <c r="H26" i="7" s="1"/>
  <c r="J20" i="162"/>
  <c r="F26" i="7" s="1"/>
  <c r="J96" i="162"/>
  <c r="J26" i="7" s="1"/>
  <c r="G54" i="18"/>
  <c r="G57" s="1"/>
  <c r="G38"/>
  <c r="G40" s="1"/>
  <c r="F54"/>
  <c r="F57" s="1"/>
  <c r="H25" i="7" s="1"/>
  <c r="G30" i="18"/>
  <c r="G31" s="1"/>
  <c r="F70"/>
  <c r="F74" s="1"/>
  <c r="L26" i="165"/>
  <c r="F27" i="2" s="1"/>
  <c r="Q6" i="165"/>
  <c r="F25" i="2" s="1"/>
  <c r="H54" i="18"/>
  <c r="H55" s="1"/>
  <c r="F62"/>
  <c r="F66" s="1"/>
  <c r="F38"/>
  <c r="F41" s="1"/>
  <c r="F22"/>
  <c r="F23" s="1"/>
  <c r="F13" i="7" s="1"/>
  <c r="E42" i="18"/>
  <c r="G62"/>
  <c r="G65" s="1"/>
  <c r="G70"/>
  <c r="G73" s="1"/>
  <c r="F81"/>
  <c r="I10" i="7"/>
  <c r="F30" i="18"/>
  <c r="F33" s="1"/>
  <c r="F6" i="9"/>
  <c r="K62" i="18"/>
  <c r="K65" s="1"/>
  <c r="G16"/>
  <c r="D8" i="31"/>
  <c r="I15" i="122"/>
  <c r="D6" i="31" s="1"/>
  <c r="I22" i="122"/>
  <c r="D7" i="31" s="1"/>
  <c r="F22" i="7"/>
  <c r="F83" i="18"/>
  <c r="G10" i="7"/>
  <c r="I22"/>
  <c r="F9" i="9"/>
  <c r="F10" i="7"/>
  <c r="H22"/>
  <c r="F8" i="9"/>
  <c r="G22" i="7"/>
  <c r="H10"/>
  <c r="F5" i="9"/>
  <c r="F10"/>
  <c r="F7"/>
  <c r="I7" i="122"/>
  <c r="I5"/>
  <c r="L36" i="158"/>
  <c r="O36" s="1"/>
  <c r="L68"/>
  <c r="O68" s="1"/>
  <c r="L72"/>
  <c r="O72" s="1"/>
  <c r="L64"/>
  <c r="O64" s="1"/>
  <c r="L70"/>
  <c r="O70" s="1"/>
  <c r="L74"/>
  <c r="O74" s="1"/>
  <c r="L25"/>
  <c r="O25" s="1"/>
  <c r="L27"/>
  <c r="O27" s="1"/>
  <c r="L29"/>
  <c r="O29" s="1"/>
  <c r="L31"/>
  <c r="O31" s="1"/>
  <c r="L62"/>
  <c r="O62" s="1"/>
  <c r="O75" s="1"/>
  <c r="I28" i="7" s="1"/>
  <c r="L67" i="158"/>
  <c r="O67" s="1"/>
  <c r="L69"/>
  <c r="O69" s="1"/>
  <c r="L71"/>
  <c r="O71" s="1"/>
  <c r="L73"/>
  <c r="O73" s="1"/>
  <c r="L100"/>
  <c r="O100" s="1"/>
  <c r="L108"/>
  <c r="O108" s="1"/>
  <c r="L28"/>
  <c r="O28" s="1"/>
  <c r="L23"/>
  <c r="O23" s="1"/>
  <c r="L34"/>
  <c r="O34" s="1"/>
  <c r="L61"/>
  <c r="O61" s="1"/>
  <c r="L63"/>
  <c r="O63" s="1"/>
  <c r="L65"/>
  <c r="O65" s="1"/>
  <c r="L5"/>
  <c r="O5" s="1"/>
  <c r="L7"/>
  <c r="O7" s="1"/>
  <c r="L9"/>
  <c r="O9" s="1"/>
  <c r="L11"/>
  <c r="O11" s="1"/>
  <c r="L13"/>
  <c r="O13" s="1"/>
  <c r="L15"/>
  <c r="O15" s="1"/>
  <c r="L17"/>
  <c r="O17" s="1"/>
  <c r="L106"/>
  <c r="O106" s="1"/>
  <c r="L43"/>
  <c r="O43" s="1"/>
  <c r="L45"/>
  <c r="O45" s="1"/>
  <c r="L47"/>
  <c r="O47" s="1"/>
  <c r="L49"/>
  <c r="O49" s="1"/>
  <c r="L51"/>
  <c r="O51" s="1"/>
  <c r="L53"/>
  <c r="O53" s="1"/>
  <c r="L55"/>
  <c r="O55" s="1"/>
  <c r="L4"/>
  <c r="O4" s="1"/>
  <c r="L6"/>
  <c r="O6" s="1"/>
  <c r="L8"/>
  <c r="O8" s="1"/>
  <c r="L10"/>
  <c r="O10" s="1"/>
  <c r="L12"/>
  <c r="O12" s="1"/>
  <c r="L14"/>
  <c r="O14" s="1"/>
  <c r="L16"/>
  <c r="O16" s="1"/>
  <c r="L42"/>
  <c r="O42" s="1"/>
  <c r="L44"/>
  <c r="O44" s="1"/>
  <c r="L46"/>
  <c r="O46" s="1"/>
  <c r="L48"/>
  <c r="O48" s="1"/>
  <c r="L50"/>
  <c r="O50" s="1"/>
  <c r="L52"/>
  <c r="O52" s="1"/>
  <c r="L54"/>
  <c r="O54" s="1"/>
  <c r="L99"/>
  <c r="O99" s="1"/>
  <c r="L104"/>
  <c r="O104" s="1"/>
  <c r="L107"/>
  <c r="O107" s="1"/>
  <c r="L61" i="143"/>
  <c r="O61" s="1"/>
  <c r="L64"/>
  <c r="O64" s="1"/>
  <c r="L73"/>
  <c r="O73" s="1"/>
  <c r="L67"/>
  <c r="O67" s="1"/>
  <c r="L63"/>
  <c r="O63" s="1"/>
  <c r="L66"/>
  <c r="O66" s="1"/>
  <c r="L68"/>
  <c r="O68" s="1"/>
  <c r="L89"/>
  <c r="O89" s="1"/>
  <c r="L91"/>
  <c r="O91" s="1"/>
  <c r="L93"/>
  <c r="O93" s="1"/>
  <c r="L71"/>
  <c r="O71" s="1"/>
  <c r="I54" i="18"/>
  <c r="I59" s="1"/>
  <c r="I62"/>
  <c r="I67" s="1"/>
  <c r="H62"/>
  <c r="H68" s="1"/>
  <c r="H70"/>
  <c r="H71" s="1"/>
  <c r="E5" i="7"/>
  <c r="J77" i="162"/>
  <c r="I26" i="7" s="1"/>
  <c r="J115" i="162"/>
  <c r="K26" i="7" s="1"/>
  <c r="J121" i="161"/>
  <c r="K14" i="7" s="1"/>
  <c r="J101" i="161"/>
  <c r="J14" i="7" s="1"/>
  <c r="J81" i="161"/>
  <c r="I14" i="7" s="1"/>
  <c r="J61" i="161"/>
  <c r="H14" i="7" s="1"/>
  <c r="J41" i="161"/>
  <c r="J21"/>
  <c r="F14" i="7" s="1"/>
  <c r="K19" i="160"/>
  <c r="F5" i="7" s="1"/>
  <c r="K11" i="159"/>
  <c r="D39" i="7" s="1"/>
  <c r="F39" s="1"/>
  <c r="F19" i="2" s="1"/>
  <c r="F35" i="7"/>
  <c r="F18" i="2" s="1"/>
  <c r="H18" i="18"/>
  <c r="E6" i="7"/>
  <c r="L80" i="158"/>
  <c r="L109"/>
  <c r="O109" s="1"/>
  <c r="L101"/>
  <c r="O101" s="1"/>
  <c r="L105"/>
  <c r="O105" s="1"/>
  <c r="L112"/>
  <c r="O112" s="1"/>
  <c r="L103"/>
  <c r="O103" s="1"/>
  <c r="L110"/>
  <c r="O110" s="1"/>
  <c r="L102"/>
  <c r="O102" s="1"/>
  <c r="L111"/>
  <c r="O111" s="1"/>
  <c r="L83" i="143"/>
  <c r="O83" s="1"/>
  <c r="L87"/>
  <c r="O87" s="1"/>
  <c r="L82"/>
  <c r="O82" s="1"/>
  <c r="L88"/>
  <c r="O88" s="1"/>
  <c r="L90"/>
  <c r="O90" s="1"/>
  <c r="L100"/>
  <c r="O100" s="1"/>
  <c r="L99"/>
  <c r="O99" s="1"/>
  <c r="L101"/>
  <c r="O101" s="1"/>
  <c r="L103"/>
  <c r="O103" s="1"/>
  <c r="L105"/>
  <c r="O105" s="1"/>
  <c r="L107"/>
  <c r="O107" s="1"/>
  <c r="L109"/>
  <c r="O109" s="1"/>
  <c r="L111"/>
  <c r="O111" s="1"/>
  <c r="L85"/>
  <c r="O85" s="1"/>
  <c r="L81"/>
  <c r="O81" s="1"/>
  <c r="L84"/>
  <c r="O84" s="1"/>
  <c r="L86"/>
  <c r="O86" s="1"/>
  <c r="L92"/>
  <c r="O92" s="1"/>
  <c r="L80"/>
  <c r="O80" s="1"/>
  <c r="O80" i="158"/>
  <c r="L82"/>
  <c r="O82" s="1"/>
  <c r="L84"/>
  <c r="O84" s="1"/>
  <c r="L86"/>
  <c r="O86" s="1"/>
  <c r="L88"/>
  <c r="O88" s="1"/>
  <c r="L90"/>
  <c r="O90" s="1"/>
  <c r="L92"/>
  <c r="O92" s="1"/>
  <c r="L81"/>
  <c r="O81" s="1"/>
  <c r="L83"/>
  <c r="O83" s="1"/>
  <c r="L85"/>
  <c r="O85" s="1"/>
  <c r="L87"/>
  <c r="O87" s="1"/>
  <c r="L89"/>
  <c r="O89" s="1"/>
  <c r="L91"/>
  <c r="O91" s="1"/>
  <c r="L93"/>
  <c r="O93" s="1"/>
  <c r="L42" i="143"/>
  <c r="O42" s="1"/>
  <c r="L44"/>
  <c r="O44" s="1"/>
  <c r="L46"/>
  <c r="O46" s="1"/>
  <c r="L48"/>
  <c r="O48" s="1"/>
  <c r="L50"/>
  <c r="O50" s="1"/>
  <c r="L52"/>
  <c r="O52" s="1"/>
  <c r="L54"/>
  <c r="O54" s="1"/>
  <c r="L102"/>
  <c r="O102" s="1"/>
  <c r="L104"/>
  <c r="O104" s="1"/>
  <c r="L106"/>
  <c r="O106" s="1"/>
  <c r="L108"/>
  <c r="O108" s="1"/>
  <c r="L110"/>
  <c r="O110" s="1"/>
  <c r="L112"/>
  <c r="O112" s="1"/>
  <c r="O37" i="158"/>
  <c r="G28" i="7" s="1"/>
  <c r="L43" i="143"/>
  <c r="O43" s="1"/>
  <c r="L45"/>
  <c r="O45" s="1"/>
  <c r="L47"/>
  <c r="O47" s="1"/>
  <c r="L49"/>
  <c r="O49" s="1"/>
  <c r="L51"/>
  <c r="O51" s="1"/>
  <c r="L53"/>
  <c r="O53" s="1"/>
  <c r="L55"/>
  <c r="O55" s="1"/>
  <c r="H22" i="18"/>
  <c r="H26" s="1"/>
  <c r="J62"/>
  <c r="J64" s="1"/>
  <c r="J31" i="142"/>
  <c r="J97"/>
  <c r="J64"/>
  <c r="E43" i="18"/>
  <c r="L35" i="143"/>
  <c r="O35" s="1"/>
  <c r="K6" i="85"/>
  <c r="N6" s="1"/>
  <c r="K10"/>
  <c r="N10" s="1"/>
  <c r="K14"/>
  <c r="N14" s="1"/>
  <c r="K18"/>
  <c r="N18" s="1"/>
  <c r="K9"/>
  <c r="N9" s="1"/>
  <c r="K13"/>
  <c r="N13" s="1"/>
  <c r="K17"/>
  <c r="N17" s="1"/>
  <c r="K8"/>
  <c r="N8" s="1"/>
  <c r="K12"/>
  <c r="N12" s="1"/>
  <c r="K16"/>
  <c r="N16" s="1"/>
  <c r="L24" i="143"/>
  <c r="O24" s="1"/>
  <c r="L26"/>
  <c r="O26" s="1"/>
  <c r="L28"/>
  <c r="O28" s="1"/>
  <c r="L30"/>
  <c r="O30" s="1"/>
  <c r="L32"/>
  <c r="O32" s="1"/>
  <c r="L34"/>
  <c r="O34" s="1"/>
  <c r="L36"/>
  <c r="O36" s="1"/>
  <c r="L9"/>
  <c r="O9" s="1"/>
  <c r="L13"/>
  <c r="O13" s="1"/>
  <c r="L5"/>
  <c r="O5" s="1"/>
  <c r="L11"/>
  <c r="O11" s="1"/>
  <c r="L7"/>
  <c r="O7" s="1"/>
  <c r="L10"/>
  <c r="O10" s="1"/>
  <c r="L12"/>
  <c r="O12" s="1"/>
  <c r="L4"/>
  <c r="O4" s="1"/>
  <c r="L15"/>
  <c r="O15" s="1"/>
  <c r="L17"/>
  <c r="O17" s="1"/>
  <c r="H59" i="18"/>
  <c r="E41"/>
  <c r="I22"/>
  <c r="I23" s="1"/>
  <c r="H16"/>
  <c r="J70"/>
  <c r="J72" s="1"/>
  <c r="E60"/>
  <c r="E68" s="1"/>
  <c r="E84" s="1"/>
  <c r="E57"/>
  <c r="E73" s="1"/>
  <c r="F16"/>
  <c r="I30"/>
  <c r="I31" s="1"/>
  <c r="H38"/>
  <c r="H39" s="1"/>
  <c r="L16"/>
  <c r="K66"/>
  <c r="G28"/>
  <c r="E36"/>
  <c r="E52" s="1"/>
  <c r="J27"/>
  <c r="G56"/>
  <c r="J43"/>
  <c r="F35"/>
  <c r="L36"/>
  <c r="F51"/>
  <c r="G43"/>
  <c r="F52"/>
  <c r="G58"/>
  <c r="F76"/>
  <c r="E66"/>
  <c r="E82" s="1"/>
  <c r="F34"/>
  <c r="F71"/>
  <c r="J32" i="142"/>
  <c r="J40"/>
  <c r="G41" i="18"/>
  <c r="E55"/>
  <c r="E71" s="1"/>
  <c r="F47"/>
  <c r="J7" i="142"/>
  <c r="J16"/>
  <c r="H30" i="18"/>
  <c r="I70"/>
  <c r="I71" s="1"/>
  <c r="K16"/>
  <c r="G18"/>
  <c r="F49"/>
  <c r="G59"/>
  <c r="F24"/>
  <c r="E75"/>
  <c r="E67"/>
  <c r="E83" s="1"/>
  <c r="G55"/>
  <c r="F55"/>
  <c r="F25" i="7" s="1"/>
  <c r="G34" i="18"/>
  <c r="J72" i="142"/>
  <c r="J96"/>
  <c r="J25"/>
  <c r="J49"/>
  <c r="J57"/>
  <c r="J82"/>
  <c r="J104"/>
  <c r="J6"/>
  <c r="J8"/>
  <c r="J24"/>
  <c r="J33"/>
  <c r="J48"/>
  <c r="J47"/>
  <c r="J66"/>
  <c r="J74"/>
  <c r="J98"/>
  <c r="J106"/>
  <c r="J73"/>
  <c r="J105"/>
  <c r="J17"/>
  <c r="J41"/>
  <c r="J56"/>
  <c r="J23"/>
  <c r="J55"/>
  <c r="J81"/>
  <c r="J90"/>
  <c r="J39"/>
  <c r="J65"/>
  <c r="J89"/>
  <c r="J15"/>
  <c r="J80"/>
  <c r="J88"/>
  <c r="L64" i="18"/>
  <c r="L68"/>
  <c r="L65"/>
  <c r="L66"/>
  <c r="J41"/>
  <c r="J42"/>
  <c r="I18"/>
  <c r="I38"/>
  <c r="I16"/>
  <c r="K30"/>
  <c r="J30"/>
  <c r="J18"/>
  <c r="E72"/>
  <c r="E64"/>
  <c r="E80" s="1"/>
  <c r="G60"/>
  <c r="F64"/>
  <c r="K68"/>
  <c r="L63"/>
  <c r="J39"/>
  <c r="G71"/>
  <c r="L67"/>
  <c r="F50"/>
  <c r="J16"/>
  <c r="F40"/>
  <c r="B6" i="2"/>
  <c r="L34" i="18"/>
  <c r="L31"/>
  <c r="L33"/>
  <c r="L32"/>
  <c r="C23" i="7"/>
  <c r="J60" i="18"/>
  <c r="K25" i="7" s="1"/>
  <c r="J59" i="18"/>
  <c r="J56"/>
  <c r="J58"/>
  <c r="J55"/>
  <c r="J57"/>
  <c r="J23"/>
  <c r="J26"/>
  <c r="J25"/>
  <c r="J24"/>
  <c r="K55"/>
  <c r="K57"/>
  <c r="K56"/>
  <c r="K59"/>
  <c r="K58"/>
  <c r="K60"/>
  <c r="G26"/>
  <c r="G25"/>
  <c r="G23"/>
  <c r="G24"/>
  <c r="G13" i="7" s="1"/>
  <c r="H58" i="18"/>
  <c r="K64"/>
  <c r="J40"/>
  <c r="G26" i="7" l="1"/>
  <c r="G14"/>
  <c r="F25" i="18"/>
  <c r="G42"/>
  <c r="F60"/>
  <c r="F27"/>
  <c r="F26"/>
  <c r="G39"/>
  <c r="F59"/>
  <c r="J25" i="7" s="1"/>
  <c r="F42" i="18"/>
  <c r="F58"/>
  <c r="I25" i="7" s="1"/>
  <c r="F56" i="18"/>
  <c r="G25" i="7" s="1"/>
  <c r="L25" s="1"/>
  <c r="F8" i="2" s="1"/>
  <c r="G44" i="18"/>
  <c r="J73"/>
  <c r="H60"/>
  <c r="G36"/>
  <c r="H56"/>
  <c r="G32"/>
  <c r="F73"/>
  <c r="G64"/>
  <c r="I55"/>
  <c r="F72"/>
  <c r="G35"/>
  <c r="F75"/>
  <c r="G33"/>
  <c r="H57"/>
  <c r="H73"/>
  <c r="I64"/>
  <c r="G74"/>
  <c r="F32"/>
  <c r="F67"/>
  <c r="J27" i="7" s="1"/>
  <c r="F44" i="18"/>
  <c r="H5" i="7"/>
  <c r="F9" i="2" s="1"/>
  <c r="J76" i="18"/>
  <c r="F39"/>
  <c r="F63"/>
  <c r="F27" i="7" s="1"/>
  <c r="F68" i="18"/>
  <c r="K27" i="7" s="1"/>
  <c r="F65" i="18"/>
  <c r="H27" i="7" s="1"/>
  <c r="I66" i="18"/>
  <c r="F31"/>
  <c r="F43"/>
  <c r="G72"/>
  <c r="G63"/>
  <c r="H63"/>
  <c r="K63"/>
  <c r="G68"/>
  <c r="G75"/>
  <c r="G66"/>
  <c r="I27" i="7" s="1"/>
  <c r="G76" i="18"/>
  <c r="G67"/>
  <c r="H66"/>
  <c r="F36"/>
  <c r="F28"/>
  <c r="K67"/>
  <c r="E65"/>
  <c r="E81" s="1"/>
  <c r="H5" i="9"/>
  <c r="F21" i="2" s="1"/>
  <c r="H8" i="9"/>
  <c r="F22" i="2" s="1"/>
  <c r="H67" i="18"/>
  <c r="I60"/>
  <c r="I57"/>
  <c r="H65"/>
  <c r="I56"/>
  <c r="I58"/>
  <c r="I8" i="122"/>
  <c r="D5" i="31" s="1"/>
  <c r="G5" s="1"/>
  <c r="I5" s="1"/>
  <c r="F23" i="2" s="1"/>
  <c r="H25" i="18"/>
  <c r="H13" i="7" s="1"/>
  <c r="H74" i="18"/>
  <c r="H72"/>
  <c r="H76"/>
  <c r="H24"/>
  <c r="I65"/>
  <c r="G29" i="7"/>
  <c r="O56" i="158"/>
  <c r="H28" i="7" s="1"/>
  <c r="H29" s="1"/>
  <c r="O18" i="158"/>
  <c r="F28" i="7" s="1"/>
  <c r="F29" s="1"/>
  <c r="O113" i="158"/>
  <c r="K28" i="7" s="1"/>
  <c r="K29" s="1"/>
  <c r="O75" i="143"/>
  <c r="I16" i="7" s="1"/>
  <c r="I17" s="1"/>
  <c r="O94" i="143"/>
  <c r="J16" i="7" s="1"/>
  <c r="J17" s="1"/>
  <c r="I68" i="18"/>
  <c r="I63"/>
  <c r="I26"/>
  <c r="I13" i="7" s="1"/>
  <c r="J71" i="18"/>
  <c r="H75"/>
  <c r="H64"/>
  <c r="G27" i="7"/>
  <c r="E76" i="18"/>
  <c r="O94" i="158"/>
  <c r="J28" i="7" s="1"/>
  <c r="O113" i="143"/>
  <c r="O56"/>
  <c r="J68" i="18"/>
  <c r="J66"/>
  <c r="O37" i="143"/>
  <c r="I36" i="18"/>
  <c r="J65"/>
  <c r="I32"/>
  <c r="J67"/>
  <c r="J63"/>
  <c r="I24"/>
  <c r="J75"/>
  <c r="I25"/>
  <c r="H23"/>
  <c r="H27"/>
  <c r="H28"/>
  <c r="H43"/>
  <c r="H44"/>
  <c r="O18" i="143"/>
  <c r="I34" i="18"/>
  <c r="H42"/>
  <c r="I33"/>
  <c r="I35"/>
  <c r="J74"/>
  <c r="I29" i="7" s="1"/>
  <c r="H41" i="18"/>
  <c r="H40"/>
  <c r="I28"/>
  <c r="I27"/>
  <c r="K35"/>
  <c r="J15" i="7" s="1"/>
  <c r="K36" i="18"/>
  <c r="J33"/>
  <c r="J35"/>
  <c r="J36"/>
  <c r="H35"/>
  <c r="H36"/>
  <c r="I44"/>
  <c r="I43"/>
  <c r="J34"/>
  <c r="I40"/>
  <c r="I74"/>
  <c r="I73"/>
  <c r="I72"/>
  <c r="E63"/>
  <c r="E79" s="1"/>
  <c r="H34"/>
  <c r="H31"/>
  <c r="H33"/>
  <c r="H32"/>
  <c r="I76"/>
  <c r="I75"/>
  <c r="J34" i="142"/>
  <c r="K34" s="1"/>
  <c r="H18" i="7" s="1"/>
  <c r="H19" s="1"/>
  <c r="J75" i="142"/>
  <c r="K75" s="1"/>
  <c r="G30" i="7" s="1"/>
  <c r="G31" s="1"/>
  <c r="J18" i="142"/>
  <c r="K18" s="1"/>
  <c r="F18" i="7" s="1"/>
  <c r="F19" s="1"/>
  <c r="J9" i="142"/>
  <c r="K9" s="1"/>
  <c r="F7" i="7" s="1"/>
  <c r="H7" s="1"/>
  <c r="F15" i="2" s="1"/>
  <c r="J107" i="142"/>
  <c r="K107" s="1"/>
  <c r="K30" i="7" s="1"/>
  <c r="K31" s="1"/>
  <c r="J99" i="142"/>
  <c r="K99" s="1"/>
  <c r="J30" i="7" s="1"/>
  <c r="J31" s="1"/>
  <c r="J91" i="142"/>
  <c r="K91" s="1"/>
  <c r="I30" i="7" s="1"/>
  <c r="I31" s="1"/>
  <c r="J83" i="142"/>
  <c r="K83" s="1"/>
  <c r="H30" i="7" s="1"/>
  <c r="H31" s="1"/>
  <c r="J26" i="142"/>
  <c r="K26" s="1"/>
  <c r="G18" i="7" s="1"/>
  <c r="G19" s="1"/>
  <c r="J67" i="142"/>
  <c r="K67" s="1"/>
  <c r="F30" i="7" s="1"/>
  <c r="F31" s="1"/>
  <c r="J50" i="142"/>
  <c r="K50" s="1"/>
  <c r="J18" i="7" s="1"/>
  <c r="J19" s="1"/>
  <c r="J58" i="142"/>
  <c r="K58" s="1"/>
  <c r="K18" i="7" s="1"/>
  <c r="K19" s="1"/>
  <c r="J42" i="142"/>
  <c r="K42" s="1"/>
  <c r="I18" i="7" s="1"/>
  <c r="I19" s="1"/>
  <c r="I39" i="18"/>
  <c r="I42"/>
  <c r="I41"/>
  <c r="K34"/>
  <c r="I15" i="7" s="1"/>
  <c r="K32" i="18"/>
  <c r="K33"/>
  <c r="H15" i="7" s="1"/>
  <c r="K31" i="18"/>
  <c r="J31"/>
  <c r="J32"/>
  <c r="N19" i="85"/>
  <c r="F6" i="7" s="1"/>
  <c r="G15" l="1"/>
  <c r="F15"/>
  <c r="K15"/>
  <c r="L13"/>
  <c r="F7" i="2" s="1"/>
  <c r="J29" i="7"/>
  <c r="L29" s="1"/>
  <c r="F14" i="2" s="1"/>
  <c r="G16" i="7"/>
  <c r="G17" s="1"/>
  <c r="H16"/>
  <c r="H17" s="1"/>
  <c r="L27"/>
  <c r="F11" i="2" s="1"/>
  <c r="L31" i="7"/>
  <c r="F17" i="2" s="1"/>
  <c r="L19" i="7"/>
  <c r="F16" i="2" s="1"/>
  <c r="K16" i="7"/>
  <c r="K17" s="1"/>
  <c r="F16"/>
  <c r="F17" s="1"/>
  <c r="H6"/>
  <c r="F12" i="2" s="1"/>
  <c r="L15" i="7" l="1"/>
  <c r="F10" i="2" s="1"/>
  <c r="L17" i="7"/>
  <c r="F13" i="2" s="1"/>
  <c r="F33" l="1"/>
  <c r="G33" s="1"/>
</calcChain>
</file>

<file path=xl/comments1.xml><?xml version="1.0" encoding="utf-8"?>
<comments xmlns="http://schemas.openxmlformats.org/spreadsheetml/2006/main">
  <authors>
    <author>LH</author>
    <author>사용자</author>
  </authors>
  <commentList>
    <comment ref="H5" authorId="0">
      <text>
        <r>
          <rPr>
            <b/>
            <sz val="11"/>
            <color indexed="81"/>
            <rFont val="돋움"/>
            <family val="3"/>
            <charset val="129"/>
          </rPr>
          <t>선택</t>
        </r>
        <r>
          <rPr>
            <b/>
            <sz val="11"/>
            <color indexed="81"/>
            <rFont val="Tahoma"/>
            <family val="2"/>
          </rPr>
          <t xml:space="preserve"> : "</t>
        </r>
        <r>
          <rPr>
            <b/>
            <sz val="11"/>
            <color indexed="81"/>
            <rFont val="돋움"/>
            <family val="3"/>
            <charset val="129"/>
          </rPr>
          <t>단순</t>
        </r>
        <r>
          <rPr>
            <b/>
            <sz val="11"/>
            <color indexed="81"/>
            <rFont val="Tahoma"/>
            <family val="2"/>
          </rPr>
          <t>" or "</t>
        </r>
        <r>
          <rPr>
            <b/>
            <sz val="11"/>
            <color indexed="81"/>
            <rFont val="돋움"/>
            <family val="3"/>
            <charset val="129"/>
          </rPr>
          <t>복잡</t>
        </r>
        <r>
          <rPr>
            <b/>
            <sz val="11"/>
            <color indexed="81"/>
            <rFont val="Tahoma"/>
            <family val="2"/>
          </rPr>
          <t>"</t>
        </r>
      </text>
    </comment>
    <comment ref="O5" authorId="1">
      <text>
        <r>
          <rPr>
            <b/>
            <sz val="11"/>
            <color indexed="81"/>
            <rFont val="굴림"/>
            <family val="3"/>
            <charset val="129"/>
          </rPr>
          <t>분야별 발주금액입력</t>
        </r>
        <r>
          <rPr>
            <sz val="11"/>
            <color indexed="81"/>
            <rFont val="굴림"/>
            <family val="3"/>
            <charset val="129"/>
          </rPr>
          <t xml:space="preserve">
</t>
        </r>
      </text>
    </comment>
    <comment ref="H6" authorId="0">
      <text>
        <r>
          <rPr>
            <b/>
            <sz val="11"/>
            <color indexed="81"/>
            <rFont val="돋움"/>
            <family val="3"/>
            <charset val="129"/>
          </rPr>
          <t>입력</t>
        </r>
        <r>
          <rPr>
            <b/>
            <sz val="11"/>
            <color indexed="81"/>
            <rFont val="Tahoma"/>
            <family val="2"/>
          </rPr>
          <t xml:space="preserve"> : "</t>
        </r>
        <r>
          <rPr>
            <b/>
            <sz val="11"/>
            <color indexed="81"/>
            <rFont val="돋움"/>
            <family val="3"/>
            <charset val="129"/>
          </rPr>
          <t>시행</t>
        </r>
        <r>
          <rPr>
            <b/>
            <sz val="11"/>
            <color indexed="81"/>
            <rFont val="Tahoma"/>
            <family val="2"/>
          </rPr>
          <t>" or "</t>
        </r>
        <r>
          <rPr>
            <b/>
            <sz val="11"/>
            <color indexed="81"/>
            <rFont val="돋움"/>
            <family val="3"/>
            <charset val="129"/>
          </rPr>
          <t>미시행</t>
        </r>
        <r>
          <rPr>
            <b/>
            <sz val="11"/>
            <color indexed="81"/>
            <rFont val="Tahoma"/>
            <family val="2"/>
          </rPr>
          <t>"</t>
        </r>
      </text>
    </comment>
  </commentList>
</comments>
</file>

<file path=xl/comments2.xml><?xml version="1.0" encoding="utf-8"?>
<comments xmlns="http://schemas.openxmlformats.org/spreadsheetml/2006/main">
  <authors>
    <author>LH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2.5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초과금액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2.5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초과금액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>2.5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초과금액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LH</author>
  </authors>
  <commentList>
    <comment ref="B3" authorId="0">
      <text>
        <r>
          <rPr>
            <b/>
            <sz val="9"/>
            <color indexed="81"/>
            <rFont val="돋움"/>
            <family val="3"/>
            <charset val="129"/>
          </rPr>
          <t>경력증명서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</text>
    </comment>
    <comment ref="I3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</commentList>
</comments>
</file>

<file path=xl/comments4.xml><?xml version="1.0" encoding="utf-8"?>
<comments xmlns="http://schemas.openxmlformats.org/spreadsheetml/2006/main">
  <authors>
    <author>LH</author>
  </authors>
  <commentList>
    <comment ref="H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H2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H4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H6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H8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H10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</commentList>
</comments>
</file>

<file path=xl/comments5.xml><?xml version="1.0" encoding="utf-8"?>
<comments xmlns="http://schemas.openxmlformats.org/spreadsheetml/2006/main">
  <authors>
    <author>LH</author>
  </authors>
  <commentList>
    <comment ref="H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H23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H4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H6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H80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H9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</commentList>
</comments>
</file>

<file path=xl/comments6.xml><?xml version="1.0" encoding="utf-8"?>
<comments xmlns="http://schemas.openxmlformats.org/spreadsheetml/2006/main">
  <authors>
    <author>LH</author>
  </authors>
  <commentList>
    <comment ref="K9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18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26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34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42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50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58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67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75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83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91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99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107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</commentList>
</comments>
</file>

<file path=xl/comments7.xml><?xml version="1.0" encoding="utf-8"?>
<comments xmlns="http://schemas.openxmlformats.org/spreadsheetml/2006/main">
  <authors>
    <author>LH</author>
  </authors>
  <commentList>
    <comment ref="K2" authorId="0">
      <text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1.0, </t>
        </r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외</t>
        </r>
        <r>
          <rPr>
            <b/>
            <sz val="12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LH</author>
  </authors>
  <commentList>
    <comment ref="K2" authorId="0">
      <text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1.0, </t>
        </r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외</t>
        </r>
        <r>
          <rPr>
            <b/>
            <sz val="12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LH</author>
  </authors>
  <commentList>
    <comment ref="K2" authorId="0">
      <text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1.0, </t>
        </r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외</t>
        </r>
        <r>
          <rPr>
            <b/>
            <sz val="12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LH</author>
  </authors>
  <commentList>
    <comment ref="G2" authorId="0">
      <text>
        <r>
          <rPr>
            <b/>
            <sz val="9"/>
            <color indexed="81"/>
            <rFont val="돋움"/>
            <family val="3"/>
            <charset val="129"/>
          </rPr>
          <t>참여한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지분율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0">
      <text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1.0, </t>
        </r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외</t>
        </r>
        <r>
          <rPr>
            <b/>
            <sz val="10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LH</author>
  </authors>
  <commentList>
    <comment ref="G2" authorId="0">
      <text>
        <r>
          <rPr>
            <b/>
            <sz val="9"/>
            <color indexed="81"/>
            <rFont val="돋움"/>
            <family val="3"/>
            <charset val="129"/>
          </rPr>
          <t>참여한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지분율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0">
      <text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1.0, </t>
        </r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외</t>
        </r>
        <r>
          <rPr>
            <b/>
            <sz val="10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LH</author>
  </authors>
  <commentList>
    <comment ref="G2" authorId="0">
      <text>
        <r>
          <rPr>
            <b/>
            <sz val="9"/>
            <color indexed="81"/>
            <rFont val="돋움"/>
            <family val="3"/>
            <charset val="129"/>
          </rPr>
          <t>참여한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지분율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0">
      <text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1.0, </t>
        </r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외</t>
        </r>
        <r>
          <rPr>
            <b/>
            <sz val="10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<sst xmlns="http://schemas.openxmlformats.org/spreadsheetml/2006/main" count="3044" uniqueCount="646">
  <si>
    <t>○ 교육훈련(1점)</t>
    <phoneticPr fontId="2" type="noConversion"/>
  </si>
  <si>
    <t>현재 중지중인 용역에 대하여도 모두 기재하시기 바라며, 잔여용역금액합계나 중복적용건수에는 반영하지 않습니다. 
이경우에 해당시 중지일 및 중지사유 기재. 공사발주완료된 경우는 확인할수 있는 근거서류를 제시한경우만 인정합니다.</t>
  </si>
  <si>
    <t>홍길동</t>
    <phoneticPr fontId="3" type="noConversion"/>
  </si>
  <si>
    <t>적용
건수</t>
    <phoneticPr fontId="3" type="noConversion"/>
  </si>
  <si>
    <t xml:space="preserve">  - OOOOOO</t>
    <phoneticPr fontId="3" type="noConversion"/>
  </si>
  <si>
    <t>총계</t>
    <phoneticPr fontId="3" type="noConversion"/>
  </si>
  <si>
    <t>번호</t>
    <phoneticPr fontId="3" type="noConversion"/>
  </si>
  <si>
    <t>참여용역명</t>
    <phoneticPr fontId="2" type="noConversion"/>
  </si>
  <si>
    <t>사업개요</t>
    <phoneticPr fontId="3" type="noConversion"/>
  </si>
  <si>
    <t>비고</t>
    <phoneticPr fontId="3" type="noConversion"/>
  </si>
  <si>
    <t>LH</t>
    <phoneticPr fontId="3" type="noConversion"/>
  </si>
  <si>
    <t>의정부녹양지구 택지개발사업 영향평가용역</t>
    <phoneticPr fontId="3" type="noConversion"/>
  </si>
  <si>
    <t>아산배방지구 영향평가용역</t>
    <phoneticPr fontId="3" type="noConversion"/>
  </si>
  <si>
    <t>청주성화2지구 택지개발사업 영향평가</t>
    <phoneticPr fontId="3" type="noConversion"/>
  </si>
  <si>
    <t>인천삼산3지구 택지개발사업 영향평가</t>
    <phoneticPr fontId="3" type="noConversion"/>
  </si>
  <si>
    <t>광명소하지구 택지개발사업 영향평가용역</t>
    <phoneticPr fontId="3" type="noConversion"/>
  </si>
  <si>
    <t>천안00국민임대주택단지예정지구 영향평가용역</t>
    <phoneticPr fontId="3" type="noConversion"/>
  </si>
  <si>
    <t>청주성화(2)지구 택지개발조성공사 영향평가용역</t>
    <phoneticPr fontId="3" type="noConversion"/>
  </si>
  <si>
    <t>용역실적증명서(원본 또는 사본)를 첨부하고, 실적대조를 위하여 양식에 작성된 연번을 반드시 기재하시기 바라며, 연번 순서대로 제본하여야 합니다.</t>
    <phoneticPr fontId="3" type="noConversion"/>
  </si>
  <si>
    <t>김포양곡지구 택개지구 영향평가</t>
    <phoneticPr fontId="3" type="noConversion"/>
  </si>
  <si>
    <t>부천범박지구 국민임대단지 영향평가</t>
    <phoneticPr fontId="3" type="noConversion"/>
  </si>
  <si>
    <t>제천강저지구 국민임대단지 영향평가</t>
    <phoneticPr fontId="3" type="noConversion"/>
  </si>
  <si>
    <t>참여분야</t>
    <phoneticPr fontId="2" type="noConversion"/>
  </si>
  <si>
    <t xml:space="preserve">실적인정금액은 발주청에서 시행한 유사용역의 각 해당분야에 한합니다. 이 때 유사용역 범위 여부는 평가기준에 의거하여 
발주용역의 내역에 준하여 인정한다. </t>
    <phoneticPr fontId="3" type="noConversion"/>
  </si>
  <si>
    <t>발주처</t>
    <phoneticPr fontId="3" type="noConversion"/>
  </si>
  <si>
    <t>용역기간</t>
    <phoneticPr fontId="3" type="noConversion"/>
  </si>
  <si>
    <t>주)</t>
    <phoneticPr fontId="3" type="noConversion"/>
  </si>
  <si>
    <t>※신고자의 실적에 해당하는 양식을  사용하여 작성합니다. 합계건수가 기술자 시트에 입력 되도록 확인합니다.</t>
    <phoneticPr fontId="3" type="noConversion"/>
  </si>
  <si>
    <t>참여기술자가 발주청 및 엔지니어 등 수행한 용역을 기초로 해당 양식을 사용하여 작성 합니다.</t>
    <phoneticPr fontId="3" type="noConversion"/>
  </si>
  <si>
    <t xml:space="preserve">    2.</t>
    <phoneticPr fontId="3" type="noConversion"/>
  </si>
  <si>
    <t>발주청에서 직접 자체설계한 실적은 감독관리건수에 포함하여 작성합니다.</t>
    <phoneticPr fontId="3" type="noConversion"/>
  </si>
  <si>
    <t>실적금액에 따른 건수인정기준은 공동도급비율 적용 전의 금액을 기준으로 산정하며, 건수산정 후 공동도급비율을 반영합니다.</t>
    <phoneticPr fontId="3" type="noConversion"/>
  </si>
  <si>
    <t xml:space="preserve">     3. </t>
    <phoneticPr fontId="3" type="noConversion"/>
  </si>
  <si>
    <t>발주청이 발행한 실적증명서나 계약서 사본(원본대조필)으로 하되 참여기술자, 용역수행기간, 준공금액 및 공동도급업체수가 확인될 수 있어야 합니다.</t>
    <phoneticPr fontId="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</si>
  <si>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3" type="noConversion"/>
  </si>
  <si>
    <t>기입란이 부족한 경우 행 삽입,삭제가 가능하며, 행삽입,삭제시 실적이 합계에서 누락되지 않도록 반드시 확인(유사용역 시트) 주의해야 합니다</t>
    <phoneticPr fontId="3" type="noConversion"/>
  </si>
  <si>
    <t>참여용역</t>
    <phoneticPr fontId="2" type="noConversion"/>
  </si>
  <si>
    <t>용역중지일</t>
    <phoneticPr fontId="3" type="noConversion"/>
  </si>
  <si>
    <t>중지사유</t>
    <phoneticPr fontId="3" type="noConversion"/>
  </si>
  <si>
    <t>합    계</t>
    <phoneticPr fontId="3" type="noConversion"/>
  </si>
  <si>
    <t>계약금액
(백만원)</t>
    <phoneticPr fontId="3" type="noConversion"/>
  </si>
  <si>
    <t>주)</t>
    <phoneticPr fontId="2" type="noConversion"/>
  </si>
  <si>
    <t>개발실적</t>
    <phoneticPr fontId="3" type="noConversion"/>
  </si>
  <si>
    <t>신기술 활용실적 (협력사)</t>
    <phoneticPr fontId="3" type="noConversion"/>
  </si>
  <si>
    <t>업체명</t>
    <phoneticPr fontId="2" type="noConversion"/>
  </si>
  <si>
    <t>평가</t>
    <phoneticPr fontId="2" type="noConversion"/>
  </si>
  <si>
    <t>점수</t>
    <phoneticPr fontId="2" type="noConversion"/>
  </si>
  <si>
    <t>비율</t>
    <phoneticPr fontId="2" type="noConversion"/>
  </si>
  <si>
    <t>투자실적</t>
    <phoneticPr fontId="2" type="noConversion"/>
  </si>
  <si>
    <t>구분</t>
    <phoneticPr fontId="2" type="noConversion"/>
  </si>
  <si>
    <t>등급</t>
    <phoneticPr fontId="2" type="noConversion"/>
  </si>
  <si>
    <t>경력</t>
    <phoneticPr fontId="2" type="noConversion"/>
  </si>
  <si>
    <t>실적</t>
    <phoneticPr fontId="2" type="noConversion"/>
  </si>
  <si>
    <t>신용도</t>
    <phoneticPr fontId="2" type="noConversion"/>
  </si>
  <si>
    <t>실용신안</t>
    <phoneticPr fontId="2" type="noConversion"/>
  </si>
  <si>
    <t>지분율</t>
    <phoneticPr fontId="2" type="noConversion"/>
  </si>
  <si>
    <t>2순위</t>
  </si>
  <si>
    <t>3순위</t>
  </si>
  <si>
    <t>4순위</t>
  </si>
  <si>
    <t>5순위</t>
  </si>
  <si>
    <t>5년미만</t>
    <phoneticPr fontId="2" type="noConversion"/>
  </si>
  <si>
    <t>소계</t>
    <phoneticPr fontId="2" type="noConversion"/>
  </si>
  <si>
    <t>5~10년</t>
    <phoneticPr fontId="2" type="noConversion"/>
  </si>
  <si>
    <t>10~20년</t>
    <phoneticPr fontId="2" type="noConversion"/>
  </si>
  <si>
    <t>신기술</t>
    <phoneticPr fontId="2" type="noConversion"/>
  </si>
  <si>
    <t>건수</t>
    <phoneticPr fontId="2" type="noConversion"/>
  </si>
  <si>
    <t>금액</t>
    <phoneticPr fontId="2" type="noConversion"/>
  </si>
  <si>
    <t>개발실적</t>
    <phoneticPr fontId="2" type="noConversion"/>
  </si>
  <si>
    <t>특허</t>
    <phoneticPr fontId="2" type="noConversion"/>
  </si>
  <si>
    <t>최근3년간(백만원)</t>
    <phoneticPr fontId="2" type="noConversion"/>
  </si>
  <si>
    <t>투자금액</t>
    <phoneticPr fontId="2" type="noConversion"/>
  </si>
  <si>
    <t>건설매출</t>
    <phoneticPr fontId="2" type="noConversion"/>
  </si>
  <si>
    <t>회사채</t>
    <phoneticPr fontId="2" type="noConversion"/>
  </si>
  <si>
    <t>기업어음</t>
    <phoneticPr fontId="2" type="noConversion"/>
  </si>
  <si>
    <t>기업신용</t>
    <phoneticPr fontId="2" type="noConversion"/>
  </si>
  <si>
    <t>AAA</t>
  </si>
  <si>
    <t>A1</t>
  </si>
  <si>
    <t>A2+</t>
  </si>
  <si>
    <t>A20</t>
  </si>
  <si>
    <t>A2-</t>
  </si>
  <si>
    <t>A+</t>
  </si>
  <si>
    <t>A3+</t>
  </si>
  <si>
    <t>A0</t>
  </si>
  <si>
    <t>A30</t>
  </si>
  <si>
    <t>A-</t>
  </si>
  <si>
    <t>A3-</t>
  </si>
  <si>
    <t>BBB+</t>
  </si>
  <si>
    <t>B+</t>
  </si>
  <si>
    <t>BBB0</t>
  </si>
  <si>
    <t>B0</t>
  </si>
  <si>
    <t>BBB-</t>
  </si>
  <si>
    <t>B-</t>
  </si>
  <si>
    <t>C 이하</t>
  </si>
  <si>
    <t>BB-</t>
  </si>
  <si>
    <t>CCC+ 이하</t>
  </si>
  <si>
    <t>건수</t>
  </si>
  <si>
    <t>비율평균</t>
    <phoneticPr fontId="2" type="noConversion"/>
  </si>
  <si>
    <t>항목</t>
    <phoneticPr fontId="2" type="noConversion"/>
  </si>
  <si>
    <t>이적계수</t>
    <phoneticPr fontId="2" type="noConversion"/>
  </si>
  <si>
    <t>비고</t>
    <phoneticPr fontId="2" type="noConversion"/>
  </si>
  <si>
    <t>항      목</t>
    <phoneticPr fontId="2" type="noConversion"/>
  </si>
  <si>
    <t>활용실적</t>
    <phoneticPr fontId="2" type="noConversion"/>
  </si>
  <si>
    <t>기술개발 및
투자실적</t>
    <phoneticPr fontId="2" type="noConversion"/>
  </si>
  <si>
    <t>계</t>
    <phoneticPr fontId="2" type="noConversion"/>
  </si>
  <si>
    <t>□ 재정상태 건실도- 신용평가등급(3점)</t>
    <phoneticPr fontId="2" type="noConversion"/>
  </si>
  <si>
    <t>업체별</t>
    <phoneticPr fontId="2" type="noConversion"/>
  </si>
  <si>
    <t>□ 개발실적(2점)</t>
    <phoneticPr fontId="2" type="noConversion"/>
  </si>
  <si>
    <t>종류</t>
  </si>
  <si>
    <t>번호</t>
  </si>
  <si>
    <t>기술명</t>
  </si>
  <si>
    <t>경과기간</t>
  </si>
  <si>
    <t>유효기간</t>
  </si>
  <si>
    <t>신기술 소계</t>
    <phoneticPr fontId="3" type="noConversion"/>
  </si>
  <si>
    <t>실용신안</t>
    <phoneticPr fontId="3" type="noConversion"/>
  </si>
  <si>
    <t>입찰공고일 :</t>
    <phoneticPr fontId="3" type="noConversion"/>
  </si>
  <si>
    <t>금액
가중치</t>
    <phoneticPr fontId="3" type="noConversion"/>
  </si>
  <si>
    <t>건수
가중치</t>
    <phoneticPr fontId="3" type="noConversion"/>
  </si>
  <si>
    <t>실적
건수</t>
    <phoneticPr fontId="3" type="noConversion"/>
  </si>
  <si>
    <t>PQ 평가표 작성 요령</t>
    <phoneticPr fontId="2" type="noConversion"/>
  </si>
  <si>
    <t>종  합  평  가  표</t>
    <phoneticPr fontId="2" type="noConversion"/>
  </si>
  <si>
    <t>평가항목</t>
    <phoneticPr fontId="2" type="noConversion"/>
  </si>
  <si>
    <t>세   부   사   항</t>
    <phoneticPr fontId="2" type="noConversion"/>
  </si>
  <si>
    <t>분  야  별</t>
    <phoneticPr fontId="2" type="noConversion"/>
  </si>
  <si>
    <t>배점</t>
    <phoneticPr fontId="2" type="noConversion"/>
  </si>
  <si>
    <t>항        목</t>
    <phoneticPr fontId="2" type="noConversion"/>
  </si>
  <si>
    <t>배 점</t>
    <phoneticPr fontId="2" type="noConversion"/>
  </si>
  <si>
    <t xml:space="preserve">    4.</t>
  </si>
  <si>
    <t>주) 1.</t>
    <phoneticPr fontId="3" type="noConversion"/>
  </si>
  <si>
    <t>신기술명</t>
    <phoneticPr fontId="3" type="noConversion"/>
  </si>
  <si>
    <t>특허명</t>
    <phoneticPr fontId="3" type="noConversion"/>
  </si>
  <si>
    <t>실용신안명</t>
    <phoneticPr fontId="3" type="noConversion"/>
  </si>
  <si>
    <t xml:space="preserve">    5.</t>
  </si>
  <si>
    <t xml:space="preserve">     3.</t>
  </si>
  <si>
    <t>     </t>
    <phoneticPr fontId="2" type="noConversion"/>
  </si>
  <si>
    <t>증빙서류는 공인회계사 또는 세무사가 증명한 최근 3회계년 투자실적입니다.</t>
    <phoneticPr fontId="3" type="noConversion"/>
  </si>
  <si>
    <t>(단, 투자실적에서 R&amp;D사업 참여실적에 적용된 실적금액은 제외)</t>
    <phoneticPr fontId="3" type="noConversion"/>
  </si>
  <si>
    <t xml:space="preserve">    ※ 증빙서류
     - 자격증 사본(원본대조필)
     - 자격인정 기술자의 경우에는 경력증명서 추가
     - 경력증명서 발급시 직무분야 및 전문분야 기술 등급이 반드시 기재되어야 하며, 직무분야 및 전문분야 등급이 표시되지 않은 경우 등급평가시 불이익을 받을수 있음</t>
    <phoneticPr fontId="2" type="noConversion"/>
  </si>
  <si>
    <t>년도별</t>
    <phoneticPr fontId="2" type="noConversion"/>
  </si>
  <si>
    <t>사업책임기술자, 분야별책임기술자별로 작성합니다.</t>
    <phoneticPr fontId="3" type="noConversion"/>
  </si>
  <si>
    <t>용역계약서사본, 참여기술자명단 등 현재 수행중인 용역현황을 파악할 수 있는 증빙서류를 첨부합니다.</t>
    <phoneticPr fontId="3" type="noConversion"/>
  </si>
  <si>
    <t>기입란이 부족한 경우 행 삽입,삭제가 가능하며, 행삽입,삭제시 실적이 합계에서 누락되지 않도록 반드시 확인(중첩도 시트) 주의해야 합니다</t>
    <phoneticPr fontId="3" type="noConversion"/>
  </si>
  <si>
    <t>종류</t>
    <phoneticPr fontId="3" type="noConversion"/>
  </si>
  <si>
    <t>기술명</t>
    <phoneticPr fontId="2" type="noConversion"/>
  </si>
  <si>
    <t>경과기간
가중치</t>
    <phoneticPr fontId="3" type="noConversion"/>
  </si>
  <si>
    <t>점수</t>
    <phoneticPr fontId="3" type="noConversion"/>
  </si>
  <si>
    <t>신기술</t>
    <phoneticPr fontId="3" type="noConversion"/>
  </si>
  <si>
    <t>특허</t>
    <phoneticPr fontId="3" type="noConversion"/>
  </si>
  <si>
    <t>특허 소계</t>
    <phoneticPr fontId="3" type="noConversion"/>
  </si>
  <si>
    <t>실용신안 소계</t>
    <phoneticPr fontId="3" type="noConversion"/>
  </si>
  <si>
    <t>지정
번호</t>
    <phoneticPr fontId="3" type="noConversion"/>
  </si>
  <si>
    <t>계</t>
  </si>
  <si>
    <t>성     명</t>
    <phoneticPr fontId="2" type="noConversion"/>
  </si>
  <si>
    <t>교육과정명</t>
    <phoneticPr fontId="2" type="noConversion"/>
  </si>
  <si>
    <t>교육기간</t>
    <phoneticPr fontId="2" type="noConversion"/>
  </si>
  <si>
    <t>교육기관</t>
    <phoneticPr fontId="2" type="noConversion"/>
  </si>
  <si>
    <t>㈜ㅁㅁ엔지니어링</t>
    <phoneticPr fontId="2" type="noConversion"/>
  </si>
  <si>
    <t>ㅇㅇ엔지니어링㈜</t>
    <phoneticPr fontId="2" type="noConversion"/>
  </si>
  <si>
    <t>해당분야</t>
    <phoneticPr fontId="2" type="noConversion"/>
  </si>
  <si>
    <t>평가대상 인원수</t>
    <phoneticPr fontId="2" type="noConversion"/>
  </si>
  <si>
    <t>사업수행능력평가 참가업체</t>
    <phoneticPr fontId="2" type="noConversion"/>
  </si>
  <si>
    <t xml:space="preserve"> 가감점</t>
    <phoneticPr fontId="2" type="noConversion"/>
  </si>
  <si>
    <t>실적금액
(억원)</t>
    <phoneticPr fontId="2" type="noConversion"/>
  </si>
  <si>
    <t>용역중지기간은 용역기간 및 참여기간에 포함시키지 않습니다.</t>
    <phoneticPr fontId="3" type="noConversion"/>
  </si>
  <si>
    <t xml:space="preserve">공고일기준 잔여과업기간이 3개월이상인 용역에 대하여 작성합니다. </t>
    <phoneticPr fontId="3" type="noConversion"/>
  </si>
  <si>
    <t xml:space="preserve">   2.</t>
    <phoneticPr fontId="3" type="noConversion"/>
  </si>
  <si>
    <t xml:space="preserve">   3.</t>
    <phoneticPr fontId="3" type="noConversion"/>
  </si>
  <si>
    <t xml:space="preserve">   4.</t>
    <phoneticPr fontId="3" type="noConversion"/>
  </si>
  <si>
    <t>공동도급인 경우에는 업체명과 각 해당 지분율을 입력합니다.</t>
    <phoneticPr fontId="2" type="noConversion"/>
  </si>
  <si>
    <t>주)1.</t>
    <phoneticPr fontId="3" type="noConversion"/>
  </si>
  <si>
    <t xml:space="preserve">   5.</t>
    <phoneticPr fontId="3" type="noConversion"/>
  </si>
  <si>
    <t xml:space="preserve"> O O 지구   O O 영향평가 용역</t>
    <phoneticPr fontId="2" type="noConversion"/>
  </si>
  <si>
    <t>파주운정(1)지구택지개발사업 영향평가</t>
    <phoneticPr fontId="3" type="noConversion"/>
  </si>
  <si>
    <t>대전노은지구 택지개발사업 영향평가</t>
  </si>
  <si>
    <t>남양주마석지구 택지개발사업 영향평가</t>
  </si>
  <si>
    <t>부천상동지구 택지개발사업 영향평가</t>
  </si>
  <si>
    <t>용인죽전지구 택지개발사업 영향평가</t>
  </si>
  <si>
    <t>강동권역 도시개발사업 영향평가</t>
  </si>
  <si>
    <t>남양주별내지구 택지개발사업 영향평가</t>
  </si>
  <si>
    <t>하남풍산지구 택지개발사업 영향평가</t>
  </si>
  <si>
    <t>용역일</t>
    <phoneticPr fontId="3" type="noConversion"/>
  </si>
  <si>
    <t>참여일</t>
    <phoneticPr fontId="3" type="noConversion"/>
  </si>
  <si>
    <t>소  계</t>
    <phoneticPr fontId="3" type="noConversion"/>
  </si>
  <si>
    <t>산 정 점 수</t>
    <phoneticPr fontId="3" type="noConversion"/>
  </si>
  <si>
    <t>점수</t>
    <phoneticPr fontId="2" type="noConversion"/>
  </si>
  <si>
    <t>실적건수</t>
    <phoneticPr fontId="3" type="noConversion"/>
  </si>
  <si>
    <t>위 양식은 영향평가 전체에 해당하며, 환경, 교통, 재해 중 특정 용역을 발주하는 경우에는 양식을 수정하여 작성바랍니다. 단, 최종 점수 셀은 유지해야 점수가 합산되오니 주의 바랍니다.</t>
    <phoneticPr fontId="3" type="noConversion"/>
  </si>
  <si>
    <t xml:space="preserve">    6.</t>
  </si>
  <si>
    <t xml:space="preserve">    7.</t>
  </si>
  <si>
    <t>OO지구 영향평가</t>
    <phoneticPr fontId="3" type="noConversion"/>
  </si>
  <si>
    <t>OO지구 환경영향평가</t>
    <phoneticPr fontId="3" type="noConversion"/>
  </si>
  <si>
    <t>OO지구 광역교통개선대책</t>
    <phoneticPr fontId="3" type="noConversion"/>
  </si>
  <si>
    <t>OO지구 교통영향평가</t>
    <phoneticPr fontId="3" type="noConversion"/>
  </si>
  <si>
    <t>6. 가감점</t>
    <phoneticPr fontId="2" type="noConversion"/>
  </si>
  <si>
    <t>평 가</t>
    <phoneticPr fontId="2" type="noConversion"/>
  </si>
  <si>
    <t xml:space="preserve">2. 각 실적 입력 시트에  </t>
    <phoneticPr fontId="2" type="noConversion"/>
  </si>
  <si>
    <t>색으로 표시된 셀은 집계표의 참조셀이므로 절대로 삭제하면 안됩니다.</t>
    <phoneticPr fontId="2" type="noConversion"/>
  </si>
  <si>
    <t>4. 만약 평가지침과 본 평가표 양식의 차이가 발생할 시에는 평가지침의 내용을 따릅니다.</t>
    <phoneticPr fontId="2" type="noConversion"/>
  </si>
  <si>
    <t>3. 해당용역 해당분야별 실적금액 입력시는 영향평가관련 분야의 준공실적 만을 기입합니다.</t>
    <phoneticPr fontId="2" type="noConversion"/>
  </si>
  <si>
    <t>5. '배점'시트는 평가점수산정시 필요한 기준들을 기입한 시트로 분야별 가중치 외는 참고만 합니다.
    단, 교통영향분석, 개선대책과 광역교통개선대책을 통합용역으로 별도 발주하는 경우에는 배점을 수정합니다.</t>
    <phoneticPr fontId="2" type="noConversion"/>
  </si>
  <si>
    <t xml:space="preserve">6. 평가부서에서는 업체에서 제출한 작성표를 근거로 관련 증빙자료 검증 후 점수를 조정할 수 있습니다. </t>
    <phoneticPr fontId="2" type="noConversion"/>
  </si>
  <si>
    <t>7. 엑셀수식오류 및 업체의 양식임의변경으로 발생될 수 있는 오류에 대하여는 당사에서 책임지지 않으니, 
    업체산정점수와 엑셀산출점수를 확인 후 제출바랍니다.</t>
    <phoneticPr fontId="2" type="noConversion"/>
  </si>
  <si>
    <t>8. 본 엑셀양식은 가로인쇄로 작성되어 있으며  인쇄후 평가서 제본시에는 접지않고 횡상철하여 제출하시기 바랍니다.</t>
    <phoneticPr fontId="2" type="noConversion"/>
  </si>
  <si>
    <t>9. 추가로 증빙자료의 총괄 설명이 필요할시에는 임의양식으로 작성제출 하시기 바랍니다.</t>
    <phoneticPr fontId="2" type="noConversion"/>
  </si>
  <si>
    <t>계약기간
(일)</t>
    <phoneticPr fontId="3" type="noConversion"/>
  </si>
  <si>
    <t>잔여기간
(일)</t>
    <phoneticPr fontId="3" type="noConversion"/>
  </si>
  <si>
    <t>청라국제도시 친환경복합단지 개발사업 실시설계용역</t>
    <phoneticPr fontId="3" type="noConversion"/>
  </si>
  <si>
    <t>무안군 신규 특화농공단지 기본 및 실시설계용역</t>
    <phoneticPr fontId="3" type="noConversion"/>
  </si>
  <si>
    <t>10. 엑셀서식오류 등 작성양식과 관련된 문의 사항은 본사 기술지원단 (055-922-5372)로 문의 바랍니다.</t>
    <phoneticPr fontId="2" type="noConversion"/>
  </si>
  <si>
    <t>6순위</t>
  </si>
  <si>
    <t>7순위</t>
  </si>
  <si>
    <t>자격 및 등급</t>
    <phoneticPr fontId="2" type="noConversion"/>
  </si>
  <si>
    <t>총괄평가자</t>
    <phoneticPr fontId="2" type="noConversion"/>
  </si>
  <si>
    <t>분야별 평가자</t>
    <phoneticPr fontId="2" type="noConversion"/>
  </si>
  <si>
    <t>업무여유도</t>
    <phoneticPr fontId="2" type="noConversion"/>
  </si>
  <si>
    <t>실적계수</t>
    <phoneticPr fontId="3" type="noConversion"/>
  </si>
  <si>
    <t>평가종류</t>
    <phoneticPr fontId="3" type="noConversion"/>
  </si>
  <si>
    <t>사업종류</t>
    <phoneticPr fontId="3" type="noConversion"/>
  </si>
  <si>
    <t>참여율</t>
    <phoneticPr fontId="3" type="noConversion"/>
  </si>
  <si>
    <t xml:space="preserve"> 업무여유도 (17점)</t>
    <phoneticPr fontId="2" type="noConversion"/>
  </si>
  <si>
    <t xml:space="preserve">□ 총괄평가자(4점)  </t>
    <phoneticPr fontId="2" type="noConversion"/>
  </si>
  <si>
    <t>1인당
중복금액
(백만원)</t>
    <phoneticPr fontId="2" type="noConversion"/>
  </si>
  <si>
    <t>0000 개발사업 환경영향평가용역</t>
    <phoneticPr fontId="3" type="noConversion"/>
  </si>
  <si>
    <t>00000 특화농공단지 기본 및 실시설계용역</t>
    <phoneticPr fontId="3" type="noConversion"/>
  </si>
  <si>
    <t>00000 개발사업 개발사업 조사설계용역</t>
    <phoneticPr fontId="3" type="noConversion"/>
  </si>
  <si>
    <t>홍길동</t>
    <phoneticPr fontId="2" type="noConversion"/>
  </si>
  <si>
    <t>분야 책임평가자</t>
    <phoneticPr fontId="2" type="noConversion"/>
  </si>
  <si>
    <t xml:space="preserve">□ 분야별 책임기술자(7점)  </t>
    <phoneticPr fontId="2" type="noConversion"/>
  </si>
  <si>
    <t>김철수</t>
    <phoneticPr fontId="2" type="noConversion"/>
  </si>
  <si>
    <t>박나리</t>
    <phoneticPr fontId="2" type="noConversion"/>
  </si>
  <si>
    <t>이순신</t>
    <phoneticPr fontId="2" type="noConversion"/>
  </si>
  <si>
    <t>아무개</t>
    <phoneticPr fontId="2" type="noConversion"/>
  </si>
  <si>
    <t>김준수</t>
    <phoneticPr fontId="2" type="noConversion"/>
  </si>
  <si>
    <t>장영실</t>
    <phoneticPr fontId="2" type="noConversion"/>
  </si>
  <si>
    <t>분야 평가자</t>
    <phoneticPr fontId="2" type="noConversion"/>
  </si>
  <si>
    <t>특급기술자</t>
  </si>
  <si>
    <t>중급기술자</t>
  </si>
  <si>
    <t>고급기술자</t>
  </si>
  <si>
    <t>환경영향평가사</t>
  </si>
  <si>
    <t>분류</t>
    <phoneticPr fontId="2" type="noConversion"/>
  </si>
  <si>
    <t>환경영향평가사</t>
    <phoneticPr fontId="2" type="noConversion"/>
  </si>
  <si>
    <t>해당기술사</t>
  </si>
  <si>
    <t>해당기술사</t>
    <phoneticPr fontId="2" type="noConversion"/>
  </si>
  <si>
    <t>중급기술자</t>
    <phoneticPr fontId="2" type="noConversion"/>
  </si>
  <si>
    <t>특급기술자</t>
    <phoneticPr fontId="2" type="noConversion"/>
  </si>
  <si>
    <t>고급기술자</t>
    <phoneticPr fontId="2" type="noConversion"/>
  </si>
  <si>
    <t>초급기술자</t>
    <phoneticPr fontId="2" type="noConversion"/>
  </si>
  <si>
    <t>2주이상</t>
    <phoneticPr fontId="2" type="noConversion"/>
  </si>
  <si>
    <t>1주이상</t>
    <phoneticPr fontId="2" type="noConversion"/>
  </si>
  <si>
    <t>경력(년)</t>
    <phoneticPr fontId="2" type="noConversion"/>
  </si>
  <si>
    <t>실적(건)</t>
    <phoneticPr fontId="2" type="noConversion"/>
  </si>
  <si>
    <t>업무여유도(억원)</t>
    <phoneticPr fontId="2" type="noConversion"/>
  </si>
  <si>
    <t>분류</t>
    <phoneticPr fontId="3" type="noConversion"/>
  </si>
  <si>
    <t>총괄평자자 실적</t>
    <phoneticPr fontId="3" type="noConversion"/>
  </si>
  <si>
    <t>발주청
(발주자)</t>
    <phoneticPr fontId="3" type="noConversion"/>
  </si>
  <si>
    <t>1. 입력시              색으로 표시된 부분에 직접입력하도록 하고,              색으로 표시된 부분은 목록에서 선택하고, 산식으로 계산된 부분은 입력하지 않습니다.</t>
    <phoneticPr fontId="2" type="noConversion"/>
  </si>
  <si>
    <t>아무개</t>
    <phoneticPr fontId="3" type="noConversion"/>
  </si>
  <si>
    <t>입찰공고일</t>
    <phoneticPr fontId="2" type="noConversion"/>
  </si>
  <si>
    <t>참여평가자
전문분야 별 비율</t>
    <phoneticPr fontId="2" type="noConversion"/>
  </si>
  <si>
    <t>대기관리</t>
    <phoneticPr fontId="2" type="noConversion"/>
  </si>
  <si>
    <t>수질관리</t>
    <phoneticPr fontId="2" type="noConversion"/>
  </si>
  <si>
    <t>사업구분</t>
    <phoneticPr fontId="2" type="noConversion"/>
  </si>
  <si>
    <t>소음진동</t>
    <phoneticPr fontId="2" type="noConversion"/>
  </si>
  <si>
    <t>업체능력평가 여부</t>
    <phoneticPr fontId="2" type="noConversion"/>
  </si>
  <si>
    <t>폐기물처리</t>
    <phoneticPr fontId="2" type="noConversion"/>
  </si>
  <si>
    <t>발주금액</t>
    <phoneticPr fontId="2" type="noConversion"/>
  </si>
  <si>
    <t>소계</t>
    <phoneticPr fontId="2" type="noConversion"/>
  </si>
  <si>
    <t>항     목</t>
    <phoneticPr fontId="2" type="noConversion"/>
  </si>
  <si>
    <t>세부항목</t>
    <phoneticPr fontId="2" type="noConversion"/>
  </si>
  <si>
    <t>배점</t>
    <phoneticPr fontId="2" type="noConversion"/>
  </si>
  <si>
    <t>구분</t>
    <phoneticPr fontId="2" type="noConversion"/>
  </si>
  <si>
    <t>1순위</t>
    <phoneticPr fontId="2" type="noConversion"/>
  </si>
  <si>
    <t>총괄평가자</t>
    <phoneticPr fontId="2" type="noConversion"/>
  </si>
  <si>
    <t>자격 및 등급</t>
    <phoneticPr fontId="2" type="noConversion"/>
  </si>
  <si>
    <t>등급</t>
    <phoneticPr fontId="2" type="noConversion"/>
  </si>
  <si>
    <t>환경영향평가사</t>
    <phoneticPr fontId="2" type="noConversion"/>
  </si>
  <si>
    <t>해당기술사</t>
    <phoneticPr fontId="2" type="noConversion"/>
  </si>
  <si>
    <t>특급기술자</t>
    <phoneticPr fontId="2" type="noConversion"/>
  </si>
  <si>
    <t>점수</t>
    <phoneticPr fontId="2" type="noConversion"/>
  </si>
  <si>
    <t>경 력</t>
    <phoneticPr fontId="2" type="noConversion"/>
  </si>
  <si>
    <t>경력</t>
    <phoneticPr fontId="2" type="noConversion"/>
  </si>
  <si>
    <t>적용점수</t>
    <phoneticPr fontId="2" type="noConversion"/>
  </si>
  <si>
    <t>분류</t>
    <phoneticPr fontId="2" type="noConversion"/>
  </si>
  <si>
    <t>실 적</t>
    <phoneticPr fontId="2" type="noConversion"/>
  </si>
  <si>
    <t>실적</t>
    <phoneticPr fontId="2" type="noConversion"/>
  </si>
  <si>
    <t>단순</t>
    <phoneticPr fontId="2" type="noConversion"/>
  </si>
  <si>
    <t>시행</t>
    <phoneticPr fontId="2" type="noConversion"/>
  </si>
  <si>
    <t>복잡</t>
    <phoneticPr fontId="2" type="noConversion"/>
  </si>
  <si>
    <t>미시행</t>
    <phoneticPr fontId="2" type="noConversion"/>
  </si>
  <si>
    <t>업무여유도</t>
    <phoneticPr fontId="2" type="noConversion"/>
  </si>
  <si>
    <t>기준</t>
    <phoneticPr fontId="2" type="noConversion"/>
  </si>
  <si>
    <t>5억원 초과</t>
    <phoneticPr fontId="2" type="noConversion"/>
  </si>
  <si>
    <t>분야별 책임평가자</t>
    <phoneticPr fontId="2" type="noConversion"/>
  </si>
  <si>
    <t>고급기술자</t>
    <phoneticPr fontId="2" type="noConversion"/>
  </si>
  <si>
    <t>중급기술자</t>
    <phoneticPr fontId="2" type="noConversion"/>
  </si>
  <si>
    <t>3.실적</t>
    <phoneticPr fontId="2" type="noConversion"/>
  </si>
  <si>
    <t>2.5억원 초과</t>
    <phoneticPr fontId="2" type="noConversion"/>
  </si>
  <si>
    <t>분야별 평가자</t>
    <phoneticPr fontId="2" type="noConversion"/>
  </si>
  <si>
    <t>초급기술자</t>
    <phoneticPr fontId="2" type="noConversion"/>
  </si>
  <si>
    <t>참여평가자</t>
    <phoneticPr fontId="2" type="noConversion"/>
  </si>
  <si>
    <t>교육훈련</t>
    <phoneticPr fontId="2" type="noConversion"/>
  </si>
  <si>
    <t>기간</t>
    <phoneticPr fontId="2" type="noConversion"/>
  </si>
  <si>
    <t>2주이상</t>
    <phoneticPr fontId="2" type="noConversion"/>
  </si>
  <si>
    <t>1주이상</t>
    <phoneticPr fontId="2" type="noConversion"/>
  </si>
  <si>
    <t>1. 건수</t>
    <phoneticPr fontId="2" type="noConversion"/>
  </si>
  <si>
    <t>건수</t>
    <phoneticPr fontId="2" type="noConversion"/>
  </si>
  <si>
    <t>2. 금액</t>
    <phoneticPr fontId="2" type="noConversion"/>
  </si>
  <si>
    <t>신용도</t>
    <phoneticPr fontId="2" type="noConversion"/>
  </si>
  <si>
    <t>개월</t>
    <phoneticPr fontId="2" type="noConversion"/>
  </si>
  <si>
    <t>감점</t>
    <phoneticPr fontId="2" type="noConversion"/>
  </si>
  <si>
    <t>회사채</t>
    <phoneticPr fontId="2" type="noConversion"/>
  </si>
  <si>
    <t>A-이상</t>
    <phoneticPr fontId="2" type="noConversion"/>
  </si>
  <si>
    <t>A-미만BBB-이상</t>
    <phoneticPr fontId="2" type="noConversion"/>
  </si>
  <si>
    <t>BBB-미만B-이상</t>
    <phoneticPr fontId="2" type="noConversion"/>
  </si>
  <si>
    <t>CCC+ 이하</t>
    <phoneticPr fontId="2" type="noConversion"/>
  </si>
  <si>
    <t>미제출</t>
    <phoneticPr fontId="2" type="noConversion"/>
  </si>
  <si>
    <t>기업어음</t>
    <phoneticPr fontId="2" type="noConversion"/>
  </si>
  <si>
    <t>A2-이상</t>
    <phoneticPr fontId="2" type="noConversion"/>
  </si>
  <si>
    <t>A2-미만A3-이상</t>
    <phoneticPr fontId="2" type="noConversion"/>
  </si>
  <si>
    <t>A3-미만B-이상</t>
    <phoneticPr fontId="2" type="noConversion"/>
  </si>
  <si>
    <t>C이하</t>
    <phoneticPr fontId="2" type="noConversion"/>
  </si>
  <si>
    <t>기업신용</t>
    <phoneticPr fontId="2" type="noConversion"/>
  </si>
  <si>
    <t>CCC+이하</t>
    <phoneticPr fontId="2" type="noConversion"/>
  </si>
  <si>
    <t>기술개발 및 투자실적</t>
    <phoneticPr fontId="2" type="noConversion"/>
  </si>
  <si>
    <t>개발실적</t>
    <phoneticPr fontId="2" type="noConversion"/>
  </si>
  <si>
    <t>구분</t>
    <phoneticPr fontId="2" type="noConversion"/>
  </si>
  <si>
    <t>신기술</t>
    <phoneticPr fontId="2" type="noConversion"/>
  </si>
  <si>
    <t>특허</t>
    <phoneticPr fontId="2" type="noConversion"/>
  </si>
  <si>
    <t>실용신안</t>
    <phoneticPr fontId="2" type="noConversion"/>
  </si>
  <si>
    <t>5년미만</t>
    <phoneticPr fontId="2" type="noConversion"/>
  </si>
  <si>
    <t>5~10년</t>
    <phoneticPr fontId="2" type="noConversion"/>
  </si>
  <si>
    <t>10~20년</t>
    <phoneticPr fontId="2" type="noConversion"/>
  </si>
  <si>
    <t>특      허</t>
    <phoneticPr fontId="2" type="noConversion"/>
  </si>
  <si>
    <t>투자실적</t>
    <phoneticPr fontId="2" type="noConversion"/>
  </si>
  <si>
    <t>활용실적</t>
    <phoneticPr fontId="2" type="noConversion"/>
  </si>
  <si>
    <t>가중치</t>
    <phoneticPr fontId="2" type="noConversion"/>
  </si>
  <si>
    <t>활용건수(건)</t>
    <phoneticPr fontId="2" type="noConversion"/>
  </si>
  <si>
    <t>활용금액(억원)</t>
    <phoneticPr fontId="2" type="noConversion"/>
  </si>
  <si>
    <t xml:space="preserve">  * 활용실적에 따른 가중치는 활용건수, 활용금액 중 하나의 조건을 만족하면 인정</t>
    <phoneticPr fontId="2" type="noConversion"/>
  </si>
  <si>
    <t>가감점</t>
    <phoneticPr fontId="2" type="noConversion"/>
  </si>
  <si>
    <t>우수(하위)업체</t>
    <phoneticPr fontId="2" type="noConversion"/>
  </si>
  <si>
    <t>+1</t>
    <phoneticPr fontId="2" type="noConversion"/>
  </si>
  <si>
    <t>-0.5</t>
    <phoneticPr fontId="2" type="noConversion"/>
  </si>
  <si>
    <t>총 계</t>
    <phoneticPr fontId="2" type="noConversion"/>
  </si>
  <si>
    <t>■ 기준입력</t>
    <phoneticPr fontId="2" type="noConversion"/>
  </si>
  <si>
    <t>■ 배점기준</t>
    <phoneticPr fontId="2" type="noConversion"/>
  </si>
  <si>
    <t>분야1</t>
    <phoneticPr fontId="2" type="noConversion"/>
  </si>
  <si>
    <t>분야2</t>
  </si>
  <si>
    <t>분야3</t>
  </si>
  <si>
    <t>분야4</t>
  </si>
  <si>
    <t>분야5</t>
  </si>
  <si>
    <t>분야6</t>
  </si>
  <si>
    <t>○ 총괄평가자[15점(17점)]</t>
    <phoneticPr fontId="2" type="noConversion"/>
  </si>
  <si>
    <t>○ 분야별 책임평가자[27점]</t>
    <phoneticPr fontId="2" type="noConversion"/>
  </si>
  <si>
    <t>○ 분야별 평가자[23점]</t>
    <phoneticPr fontId="2" type="noConversion"/>
  </si>
  <si>
    <t>과업의 이해도</t>
    <phoneticPr fontId="2" type="noConversion"/>
  </si>
  <si>
    <t>환경평가발전(평가자)</t>
    <phoneticPr fontId="2" type="noConversion"/>
  </si>
  <si>
    <t>□ 분야별 평가자(6점)</t>
    <phoneticPr fontId="2" type="noConversion"/>
  </si>
  <si>
    <t>배점</t>
    <phoneticPr fontId="2" type="noConversion"/>
  </si>
  <si>
    <t>-</t>
    <phoneticPr fontId="2" type="noConversion"/>
  </si>
  <si>
    <t>중복없음</t>
    <phoneticPr fontId="2" type="noConversion"/>
  </si>
  <si>
    <t>과업의 이해도</t>
    <phoneticPr fontId="2" type="noConversion"/>
  </si>
  <si>
    <t>대기분야 책임평가자</t>
    <phoneticPr fontId="2" type="noConversion"/>
  </si>
  <si>
    <t>수질관리 책임평가자</t>
    <phoneticPr fontId="2" type="noConversion"/>
  </si>
  <si>
    <t>참여평가자 교육실적</t>
    <phoneticPr fontId="2" type="noConversion"/>
  </si>
  <si>
    <t>대기분야 평가자</t>
    <phoneticPr fontId="2" type="noConversion"/>
  </si>
  <si>
    <t>수질관리 평가자</t>
    <phoneticPr fontId="2" type="noConversion"/>
  </si>
  <si>
    <t>           2주이상교육자</t>
    <phoneticPr fontId="2" type="noConversion"/>
  </si>
  <si>
    <t>           1주 이상 2주 미만교육자</t>
    <phoneticPr fontId="2" type="noConversion"/>
  </si>
  <si>
    <t>용 역 명</t>
    <phoneticPr fontId="2" type="noConversion"/>
  </si>
  <si>
    <t>용 역 기 간</t>
    <phoneticPr fontId="2" type="noConversion"/>
  </si>
  <si>
    <t>00000 택지개발사업 전력환경영향평가 용역</t>
    <phoneticPr fontId="2" type="noConversion"/>
  </si>
  <si>
    <t>참여기간</t>
    <phoneticPr fontId="2" type="noConversion"/>
  </si>
  <si>
    <t>참여자</t>
    <phoneticPr fontId="2" type="noConversion"/>
  </si>
  <si>
    <t xml:space="preserve"> 과업의 이해도</t>
    <phoneticPr fontId="2" type="noConversion"/>
  </si>
  <si>
    <t>총평가인원수</t>
    <phoneticPr fontId="2" type="noConversion"/>
  </si>
  <si>
    <t>전단계 용역 참여자수</t>
    <phoneticPr fontId="2" type="noConversion"/>
  </si>
  <si>
    <t>환경평가
참여자
능력평가</t>
    <phoneticPr fontId="2" type="noConversion"/>
  </si>
  <si>
    <t>제출
점수</t>
    <phoneticPr fontId="2" type="noConversion"/>
  </si>
  <si>
    <t>총괄평가자 경력</t>
    <phoneticPr fontId="3" type="noConversion"/>
  </si>
  <si>
    <t>착수일</t>
    <phoneticPr fontId="2" type="noConversion"/>
  </si>
  <si>
    <t>준공일</t>
    <phoneticPr fontId="2" type="noConversion"/>
  </si>
  <si>
    <t>일수</t>
    <phoneticPr fontId="2" type="noConversion"/>
  </si>
  <si>
    <t>인정
인원</t>
    <phoneticPr fontId="2" type="noConversion"/>
  </si>
  <si>
    <t>인원</t>
    <phoneticPr fontId="2" type="noConversion"/>
  </si>
  <si>
    <t>계약기간</t>
    <phoneticPr fontId="2" type="noConversion"/>
  </si>
  <si>
    <t>참여기간</t>
    <phoneticPr fontId="3" type="noConversion"/>
  </si>
  <si>
    <t>적용
일수
(일)</t>
    <phoneticPr fontId="3" type="noConversion"/>
  </si>
  <si>
    <t>착수일</t>
    <phoneticPr fontId="3" type="noConversion"/>
  </si>
  <si>
    <t>준공일</t>
    <phoneticPr fontId="3" type="noConversion"/>
  </si>
  <si>
    <t>참여개시일</t>
    <phoneticPr fontId="3" type="noConversion"/>
  </si>
  <si>
    <t>참여종료일</t>
    <phoneticPr fontId="3" type="noConversion"/>
  </si>
  <si>
    <t>※신고자의 경력에 해당하는 양식을  사용하여 작성합니다. 합계건수가 기술자 시트에 입력 되도록 확인합니다.</t>
    <phoneticPr fontId="3" type="noConversion"/>
  </si>
  <si>
    <t>용역중지기간은 용역기간에 포함시키지 않습니다.</t>
    <phoneticPr fontId="3" type="noConversion"/>
  </si>
  <si>
    <t>용역실적증명서(원본 또는 사본)를 첨부하고, 경력대조를 위하여 양식에 작성된 연번을 반드시 기재하시기 바라며, 연번 순서대로 제본하여야 합니다.</t>
    <phoneticPr fontId="3" type="noConversion"/>
  </si>
  <si>
    <t>환경평가발전</t>
    <phoneticPr fontId="2" type="noConversion"/>
  </si>
  <si>
    <t>환경영향평가등
수행실적</t>
    <phoneticPr fontId="2" type="noConversion"/>
  </si>
  <si>
    <t>실적금액
(백만원)</t>
    <phoneticPr fontId="3" type="noConversion"/>
  </si>
  <si>
    <t>환경평가업체
능력평가</t>
    <phoneticPr fontId="2" type="noConversion"/>
  </si>
  <si>
    <t>준공금액
(백만원)</t>
    <phoneticPr fontId="2" type="noConversion"/>
  </si>
  <si>
    <t>분야별 
실적인정금액
(백만원)</t>
    <phoneticPr fontId="3" type="noConversion"/>
  </si>
  <si>
    <t>도급
지분</t>
    <phoneticPr fontId="3" type="noConversion"/>
  </si>
  <si>
    <t>실적금액
(백만원)</t>
    <phoneticPr fontId="3" type="noConversion"/>
  </si>
  <si>
    <t>실적건수
(건)</t>
    <phoneticPr fontId="2" type="noConversion"/>
  </si>
  <si>
    <t>점수</t>
    <phoneticPr fontId="2" type="noConversion"/>
  </si>
  <si>
    <t>참여분야</t>
    <phoneticPr fontId="2" type="noConversion"/>
  </si>
  <si>
    <t>배점</t>
    <phoneticPr fontId="2" type="noConversion"/>
  </si>
  <si>
    <t>1. 환경평가 참여자 능력평가</t>
    <phoneticPr fontId="2" type="noConversion"/>
  </si>
  <si>
    <t>2. 환경영향평가등 수행실적(15점)</t>
    <phoneticPr fontId="2" type="noConversion"/>
  </si>
  <si>
    <t>3. 신용도(8점)</t>
    <phoneticPr fontId="2" type="noConversion"/>
  </si>
  <si>
    <t>부실평가자 및 부실업체</t>
    <phoneticPr fontId="2" type="noConversion"/>
  </si>
  <si>
    <t>내용</t>
    <phoneticPr fontId="2" type="noConversion"/>
  </si>
  <si>
    <t>업무정지</t>
    <phoneticPr fontId="2" type="noConversion"/>
  </si>
  <si>
    <t>거짓작성 및 복제</t>
    <phoneticPr fontId="2" type="noConversion"/>
  </si>
  <si>
    <t>부실작성</t>
    <phoneticPr fontId="2" type="noConversion"/>
  </si>
  <si>
    <t>분야 책임평가자</t>
    <phoneticPr fontId="2" type="noConversion"/>
  </si>
  <si>
    <t>업체별점수</t>
    <phoneticPr fontId="2" type="noConversion"/>
  </si>
  <si>
    <t>점수계산은 참여업자 및 참여평가자의 누계벌점에 따라 감점</t>
    <phoneticPr fontId="2" type="noConversion"/>
  </si>
  <si>
    <t>분야 평가자</t>
    <phoneticPr fontId="2" type="noConversion"/>
  </si>
  <si>
    <t>정지기간</t>
  </si>
  <si>
    <t>정지기간</t>
    <phoneticPr fontId="2" type="noConversion"/>
  </si>
  <si>
    <t>평가점수</t>
    <phoneticPr fontId="2" type="noConversion"/>
  </si>
  <si>
    <t>홍길동</t>
    <phoneticPr fontId="2" type="noConversion"/>
  </si>
  <si>
    <t>이순신</t>
    <phoneticPr fontId="2" type="noConversion"/>
  </si>
  <si>
    <t>정지기간</t>
    <phoneticPr fontId="2" type="noConversion"/>
  </si>
  <si>
    <t>계</t>
    <phoneticPr fontId="2" type="noConversion"/>
  </si>
  <si>
    <t>기술자격정지
또는 영업정지 등</t>
    <phoneticPr fontId="2" type="noConversion"/>
  </si>
  <si>
    <t>공동이행방식으로 용역을 수행하는 경우에는 공동수급체의 구성원별 평가점수에 용역참여지분율을 곱하여 산정한 후 이를 합산하고, 참여평가자는 개별점수를 합산한 후 평가점수 적용</t>
    <phoneticPr fontId="2" type="noConversion"/>
  </si>
  <si>
    <t>참여분야</t>
    <phoneticPr fontId="2" type="noConversion"/>
  </si>
  <si>
    <t>성  명</t>
    <phoneticPr fontId="2" type="noConversion"/>
  </si>
  <si>
    <t>내용</t>
    <phoneticPr fontId="2" type="noConversion"/>
  </si>
  <si>
    <t>업무정지</t>
    <phoneticPr fontId="2" type="noConversion"/>
  </si>
  <si>
    <t>거짓작성 및 복제</t>
    <phoneticPr fontId="2" type="noConversion"/>
  </si>
  <si>
    <t>부실작성</t>
    <phoneticPr fontId="2" type="noConversion"/>
  </si>
  <si>
    <t>입찰참가제한 및 영업정지(평가업체)</t>
    <phoneticPr fontId="2" type="noConversion"/>
  </si>
  <si>
    <t>항목별 점수</t>
    <phoneticPr fontId="2" type="noConversion"/>
  </si>
  <si>
    <t>□ 업무정지 등(5점)</t>
    <phoneticPr fontId="2" type="noConversion"/>
  </si>
  <si>
    <t>기술자격정지 및 업무정지(평가자)</t>
    <phoneticPr fontId="2" type="noConversion"/>
  </si>
  <si>
    <t>평가점수</t>
    <phoneticPr fontId="2" type="noConversion"/>
  </si>
  <si>
    <t>평가</t>
    <phoneticPr fontId="2" type="noConversion"/>
  </si>
  <si>
    <t>항목별 누계점수</t>
    <phoneticPr fontId="2" type="noConversion"/>
  </si>
  <si>
    <t>신용도</t>
    <phoneticPr fontId="2" type="noConversion"/>
  </si>
  <si>
    <t>업무정지, 거짓작성 등</t>
    <phoneticPr fontId="2" type="noConversion"/>
  </si>
  <si>
    <t>재정상태 건실도</t>
    <phoneticPr fontId="2" type="noConversion"/>
  </si>
  <si>
    <t>점수(대/중기업)</t>
    <phoneticPr fontId="2" type="noConversion"/>
  </si>
  <si>
    <t>점수(소기업)</t>
    <phoneticPr fontId="2" type="noConversion"/>
  </si>
  <si>
    <t>재정상태 건실도</t>
    <phoneticPr fontId="2" type="noConversion"/>
  </si>
  <si>
    <t>업체규모</t>
    <phoneticPr fontId="2" type="noConversion"/>
  </si>
  <si>
    <t>대기업/중기업</t>
  </si>
  <si>
    <t>소기업</t>
  </si>
  <si>
    <t>BB0</t>
  </si>
  <si>
    <t>우수업체</t>
    <phoneticPr fontId="2" type="noConversion"/>
  </si>
  <si>
    <t>공동도급</t>
    <phoneticPr fontId="2" type="noConversion"/>
  </si>
  <si>
    <t>4. 기술개발 및 투자실적(6점)</t>
    <phoneticPr fontId="2" type="noConversion"/>
  </si>
  <si>
    <t>연구보고서</t>
    <phoneticPr fontId="2" type="noConversion"/>
  </si>
  <si>
    <t>연구보고서</t>
    <phoneticPr fontId="2" type="noConversion"/>
  </si>
  <si>
    <t>연구보고서</t>
    <phoneticPr fontId="3" type="noConversion"/>
  </si>
  <si>
    <t>연구보고서</t>
    <phoneticPr fontId="3" type="noConversion"/>
  </si>
  <si>
    <t>연구보고서명</t>
    <phoneticPr fontId="3" type="noConversion"/>
  </si>
  <si>
    <t>연구보고서 소계</t>
    <phoneticPr fontId="3" type="noConversion"/>
  </si>
  <si>
    <t>지정
번호</t>
    <phoneticPr fontId="2" type="noConversion"/>
  </si>
  <si>
    <t>신기술 소계</t>
    <phoneticPr fontId="3" type="noConversion"/>
  </si>
  <si>
    <t>□ 투자실적(2점)</t>
    <phoneticPr fontId="2" type="noConversion"/>
  </si>
  <si>
    <t>□ 활용실적(2점)</t>
    <phoneticPr fontId="2" type="noConversion"/>
  </si>
  <si>
    <t>활용실적 (주관사)</t>
    <phoneticPr fontId="3" type="noConversion"/>
  </si>
  <si>
    <t>연구보고서</t>
    <phoneticPr fontId="2" type="noConversion"/>
  </si>
  <si>
    <t>연구보고서명</t>
    <phoneticPr fontId="3" type="noConversion"/>
  </si>
  <si>
    <t>연구보고서명 소계</t>
    <phoneticPr fontId="3" type="noConversion"/>
  </si>
  <si>
    <t>실용신안 소계</t>
    <phoneticPr fontId="3" type="noConversion"/>
  </si>
  <si>
    <t>특허 소계</t>
    <phoneticPr fontId="3" type="noConversion"/>
  </si>
  <si>
    <t>분야별
가중치</t>
    <phoneticPr fontId="2" type="noConversion"/>
  </si>
  <si>
    <t>업체능력평가</t>
    <phoneticPr fontId="2" type="noConversion"/>
  </si>
  <si>
    <t>총괄평가자의 능력</t>
    <phoneticPr fontId="2" type="noConversion"/>
  </si>
  <si>
    <t>참여의향서</t>
    <phoneticPr fontId="2" type="noConversion"/>
  </si>
  <si>
    <t>환경평가발전</t>
    <phoneticPr fontId="2" type="noConversion"/>
  </si>
  <si>
    <t>유형</t>
    <phoneticPr fontId="2" type="noConversion"/>
  </si>
  <si>
    <t>제1종업체 ↔ 제2종업체</t>
    <phoneticPr fontId="2" type="noConversion"/>
  </si>
  <si>
    <t>제1종업체 ↔ 소기업(1,2종 포함)</t>
    <phoneticPr fontId="2" type="noConversion"/>
  </si>
  <si>
    <t>0.5점</t>
    <phoneticPr fontId="2" type="noConversion"/>
  </si>
  <si>
    <t>총괄평가자 능력</t>
    <phoneticPr fontId="2" type="noConversion"/>
  </si>
  <si>
    <t>하도급 준수여부, 입찰불참</t>
    <phoneticPr fontId="2" type="noConversion"/>
  </si>
  <si>
    <t>환경평가업체
능력평가</t>
    <phoneticPr fontId="2" type="noConversion"/>
  </si>
  <si>
    <t>◇◇기술공사㈜</t>
    <phoneticPr fontId="2" type="noConversion"/>
  </si>
  <si>
    <t>적용
일수
(인정일)</t>
    <phoneticPr fontId="2" type="noConversion"/>
  </si>
  <si>
    <t>경력계수</t>
    <phoneticPr fontId="3" type="noConversion"/>
  </si>
  <si>
    <r>
      <t xml:space="preserve">준공금액란에는 용역전체 금액을 기입하며, 해당분야 준공실적란에는 </t>
    </r>
    <r>
      <rPr>
        <b/>
        <sz val="10"/>
        <color indexed="10"/>
        <rFont val="휴먼명조"/>
        <family val="3"/>
        <charset val="129"/>
      </rPr>
      <t>유사용역(영향평가)해당분야</t>
    </r>
    <r>
      <rPr>
        <sz val="10"/>
        <rFont val="휴먼명조"/>
        <family val="3"/>
        <charset val="129"/>
      </rPr>
      <t xml:space="preserve"> 실적의 해당금액을 기입합니다.
설계및영향평가 통합용역의 경우 </t>
    </r>
    <r>
      <rPr>
        <b/>
        <sz val="10"/>
        <color indexed="10"/>
        <rFont val="휴먼명조"/>
        <family val="3"/>
        <charset val="129"/>
      </rPr>
      <t>영향평가실적분만 인정</t>
    </r>
    <r>
      <rPr>
        <sz val="10"/>
        <rFont val="휴먼명조"/>
        <family val="3"/>
        <charset val="129"/>
      </rPr>
      <t>하며, 설계분야실적분은 인정하지 않습니다.</t>
    </r>
    <phoneticPr fontId="3" type="noConversion"/>
  </si>
  <si>
    <r>
      <t>기입란은 행 삽입,삭제가 가능하며, 행삽입,삭제시 실적이 합계에서 누락되지 않도록 반드시 확인(기술자실적 시트) 주의해야 합니다</t>
    </r>
    <r>
      <rPr>
        <sz val="10"/>
        <rFont val="휴먼명조"/>
        <family val="3"/>
        <charset val="129"/>
      </rPr>
      <t>.</t>
    </r>
    <phoneticPr fontId="3" type="noConversion"/>
  </si>
  <si>
    <t xml:space="preserve">환경영향평가등의 작성 외에 관련법령에 따른 검토 협의 감독 등의 환경영향평가 실무에 종사한 기간을 포함하여 작성합니다. </t>
    <phoneticPr fontId="3" type="noConversion"/>
  </si>
  <si>
    <r>
      <t>기입란은 행 삽입,삭제가 가능하며, 행삽입,삭제시 실적이 합계에서 누락되지 않도록 반드시 확인 주의해야 합니다</t>
    </r>
    <r>
      <rPr>
        <sz val="10"/>
        <rFont val="휴먼명조"/>
        <family val="3"/>
        <charset val="129"/>
      </rPr>
      <t>.</t>
    </r>
    <phoneticPr fontId="3" type="noConversion"/>
  </si>
  <si>
    <t>분야 책임평가자</t>
    <phoneticPr fontId="2" type="noConversion"/>
  </si>
  <si>
    <t>홍길동</t>
    <phoneticPr fontId="3" type="noConversion"/>
  </si>
  <si>
    <t>번호</t>
    <phoneticPr fontId="3" type="noConversion"/>
  </si>
  <si>
    <t>참여용역명</t>
    <phoneticPr fontId="2" type="noConversion"/>
  </si>
  <si>
    <t>사업개요</t>
    <phoneticPr fontId="3" type="noConversion"/>
  </si>
  <si>
    <t>발주청
(발주자)</t>
    <phoneticPr fontId="3" type="noConversion"/>
  </si>
  <si>
    <t>계약기간</t>
    <phoneticPr fontId="2" type="noConversion"/>
  </si>
  <si>
    <t>참여기간</t>
    <phoneticPr fontId="3" type="noConversion"/>
  </si>
  <si>
    <t>참여율</t>
    <phoneticPr fontId="3" type="noConversion"/>
  </si>
  <si>
    <t>실적계수</t>
    <phoneticPr fontId="3" type="noConversion"/>
  </si>
  <si>
    <t>적용
건수</t>
    <phoneticPr fontId="3" type="noConversion"/>
  </si>
  <si>
    <t>비고</t>
    <phoneticPr fontId="3" type="noConversion"/>
  </si>
  <si>
    <t>착수일</t>
    <phoneticPr fontId="3" type="noConversion"/>
  </si>
  <si>
    <t>준공일</t>
    <phoneticPr fontId="3" type="noConversion"/>
  </si>
  <si>
    <t>용역일</t>
    <phoneticPr fontId="3" type="noConversion"/>
  </si>
  <si>
    <t>참여개시일</t>
    <phoneticPr fontId="3" type="noConversion"/>
  </si>
  <si>
    <t>참여종료일</t>
    <phoneticPr fontId="3" type="noConversion"/>
  </si>
  <si>
    <t>참여일</t>
    <phoneticPr fontId="3" type="noConversion"/>
  </si>
  <si>
    <t>평가종류</t>
    <phoneticPr fontId="3" type="noConversion"/>
  </si>
  <si>
    <t>사업종류</t>
    <phoneticPr fontId="3" type="noConversion"/>
  </si>
  <si>
    <t xml:space="preserve">  - OOOOOO</t>
    <phoneticPr fontId="3" type="noConversion"/>
  </si>
  <si>
    <t>LH</t>
    <phoneticPr fontId="3" type="noConversion"/>
  </si>
  <si>
    <t>분류</t>
    <phoneticPr fontId="3" type="noConversion"/>
  </si>
  <si>
    <t xml:space="preserve">  - OOOOOO</t>
    <phoneticPr fontId="3" type="noConversion"/>
  </si>
  <si>
    <t>LH</t>
    <phoneticPr fontId="3" type="noConversion"/>
  </si>
  <si>
    <t>의정부녹양지구 택지개발사업 영향평가용역</t>
    <phoneticPr fontId="3" type="noConversion"/>
  </si>
  <si>
    <t>아산배방지구 영향평가용역</t>
    <phoneticPr fontId="3" type="noConversion"/>
  </si>
  <si>
    <t>청주성화2지구 택지개발사업 영향평가</t>
    <phoneticPr fontId="3" type="noConversion"/>
  </si>
  <si>
    <t>인천삼산3지구 택지개발사업 영향평가</t>
    <phoneticPr fontId="3" type="noConversion"/>
  </si>
  <si>
    <t>광명소하지구 택지개발사업 영향평가용역</t>
    <phoneticPr fontId="3" type="noConversion"/>
  </si>
  <si>
    <t>천안00국민임대주택단지예정지구 영향평가용역</t>
    <phoneticPr fontId="3" type="noConversion"/>
  </si>
  <si>
    <t>청주성화(2)지구 택지개발조성공사 영향평가용역</t>
    <phoneticPr fontId="3" type="noConversion"/>
  </si>
  <si>
    <t>총계</t>
    <phoneticPr fontId="3" type="noConversion"/>
  </si>
  <si>
    <t>분야 책임평가자</t>
    <phoneticPr fontId="2" type="noConversion"/>
  </si>
  <si>
    <t>홍길동</t>
    <phoneticPr fontId="3" type="noConversion"/>
  </si>
  <si>
    <t>번호</t>
    <phoneticPr fontId="3" type="noConversion"/>
  </si>
  <si>
    <t>참여용역명</t>
    <phoneticPr fontId="2" type="noConversion"/>
  </si>
  <si>
    <t>사업개요</t>
    <phoneticPr fontId="3" type="noConversion"/>
  </si>
  <si>
    <t>참여분야</t>
    <phoneticPr fontId="2" type="noConversion"/>
  </si>
  <si>
    <t>발주청
(발주자)</t>
    <phoneticPr fontId="3" type="noConversion"/>
  </si>
  <si>
    <t>계약기간</t>
    <phoneticPr fontId="2" type="noConversion"/>
  </si>
  <si>
    <t>참여기간</t>
    <phoneticPr fontId="3" type="noConversion"/>
  </si>
  <si>
    <t>참여율</t>
    <phoneticPr fontId="3" type="noConversion"/>
  </si>
  <si>
    <t>실적계수</t>
    <phoneticPr fontId="3" type="noConversion"/>
  </si>
  <si>
    <t>적용
건수</t>
    <phoneticPr fontId="3" type="noConversion"/>
  </si>
  <si>
    <t>비고</t>
    <phoneticPr fontId="3" type="noConversion"/>
  </si>
  <si>
    <t>착수일</t>
    <phoneticPr fontId="3" type="noConversion"/>
  </si>
  <si>
    <t>준공일</t>
    <phoneticPr fontId="3" type="noConversion"/>
  </si>
  <si>
    <t>용역일</t>
    <phoneticPr fontId="3" type="noConversion"/>
  </si>
  <si>
    <t>참여개시일</t>
    <phoneticPr fontId="3" type="noConversion"/>
  </si>
  <si>
    <t>참여종료일</t>
    <phoneticPr fontId="3" type="noConversion"/>
  </si>
  <si>
    <t>참여일</t>
    <phoneticPr fontId="3" type="noConversion"/>
  </si>
  <si>
    <t>평가종류</t>
    <phoneticPr fontId="3" type="noConversion"/>
  </si>
  <si>
    <t>사업종류</t>
    <phoneticPr fontId="3" type="noConversion"/>
  </si>
  <si>
    <t>참여분야</t>
    <phoneticPr fontId="2" type="noConversion"/>
  </si>
  <si>
    <t>■ 전단계 용역 중 당해 용역 참여현황</t>
    <phoneticPr fontId="2" type="noConversion"/>
  </si>
  <si>
    <t>■ 환경영향평가등 수행실적</t>
    <phoneticPr fontId="2" type="noConversion"/>
  </si>
  <si>
    <r>
      <t>준공금액란에는 용역전체 금액을 기입하며,</t>
    </r>
    <r>
      <rPr>
        <b/>
        <sz val="10"/>
        <color indexed="10"/>
        <rFont val="휴먼명조"/>
        <family val="3"/>
        <charset val="129"/>
      </rPr>
      <t xml:space="preserve"> 분야별 실적금액</t>
    </r>
    <r>
      <rPr>
        <sz val="10"/>
        <rFont val="휴먼명조"/>
        <family val="3"/>
        <charset val="129"/>
      </rPr>
      <t xml:space="preserve">란에는 </t>
    </r>
    <r>
      <rPr>
        <b/>
        <sz val="10"/>
        <color indexed="10"/>
        <rFont val="휴먼명조"/>
        <family val="3"/>
        <charset val="129"/>
      </rPr>
      <t>해당분야 실적의 해당금액</t>
    </r>
    <r>
      <rPr>
        <sz val="10"/>
        <rFont val="휴먼명조"/>
        <family val="3"/>
        <charset val="129"/>
      </rPr>
      <t xml:space="preserve">을 기입합니다.
설계및영향평가 통합용역의 경우 </t>
    </r>
    <r>
      <rPr>
        <b/>
        <sz val="10"/>
        <color indexed="10"/>
        <rFont val="휴먼명조"/>
        <family val="3"/>
        <charset val="129"/>
      </rPr>
      <t>영향평가 해당분야실적분만 인정</t>
    </r>
    <r>
      <rPr>
        <sz val="10"/>
        <rFont val="휴먼명조"/>
        <family val="3"/>
        <charset val="129"/>
      </rPr>
      <t>하며, 설계분야실적분은 인정하지 않습니다.</t>
    </r>
    <phoneticPr fontId="3" type="noConversion"/>
  </si>
  <si>
    <t>A-</t>
    <phoneticPr fontId="2" type="noConversion"/>
  </si>
  <si>
    <t>A-</t>
    <phoneticPr fontId="2" type="noConversion"/>
  </si>
  <si>
    <t>주) 1.</t>
    <phoneticPr fontId="3" type="noConversion"/>
  </si>
  <si>
    <t xml:space="preserve">            란을 직접입력합니다. </t>
    <phoneticPr fontId="3" type="noConversion"/>
  </si>
  <si>
    <t xml:space="preserve">     2.</t>
    <phoneticPr fontId="2" type="noConversion"/>
  </si>
  <si>
    <t>재정상태건실도 평가는 유효기간내의 회사채,기업어음,기업신용 중 한가지만 입력하면 됩니다.</t>
    <phoneticPr fontId="3" type="noConversion"/>
  </si>
  <si>
    <t xml:space="preserve"> 회사채(또는 기업어음)에 대한 신용평가등급 및 기업신용평가에 따른 평점이 다른 경우에는 높은 평점으로 평가하며, 등급확인서를 제출하지 않은 경우에는 0점으로 평가합니다.</t>
    <phoneticPr fontId="2" type="noConversion"/>
  </si>
  <si>
    <t>회사채</t>
    <phoneticPr fontId="2" type="noConversion"/>
  </si>
  <si>
    <t>기업어음</t>
    <phoneticPr fontId="2" type="noConversion"/>
  </si>
  <si>
    <t>기업신용</t>
    <phoneticPr fontId="2" type="noConversion"/>
  </si>
  <si>
    <t>업체규모</t>
    <phoneticPr fontId="2" type="noConversion"/>
  </si>
  <si>
    <t>대기업/중기업</t>
    <phoneticPr fontId="2" type="noConversion"/>
  </si>
  <si>
    <t>AA+</t>
    <phoneticPr fontId="2" type="noConversion"/>
  </si>
  <si>
    <t>AA+</t>
    <phoneticPr fontId="2" type="noConversion"/>
  </si>
  <si>
    <t>소기업</t>
    <phoneticPr fontId="2" type="noConversion"/>
  </si>
  <si>
    <t>AA0</t>
    <phoneticPr fontId="2" type="noConversion"/>
  </si>
  <si>
    <t>AA0</t>
    <phoneticPr fontId="2" type="noConversion"/>
  </si>
  <si>
    <t>대기업/중기업</t>
    <phoneticPr fontId="2" type="noConversion"/>
  </si>
  <si>
    <t>AA-</t>
    <phoneticPr fontId="2" type="noConversion"/>
  </si>
  <si>
    <t>AA-</t>
    <phoneticPr fontId="2" type="noConversion"/>
  </si>
  <si>
    <t>소기업</t>
    <phoneticPr fontId="2" type="noConversion"/>
  </si>
  <si>
    <t>대기업/중기업</t>
    <phoneticPr fontId="2" type="noConversion"/>
  </si>
  <si>
    <t>소기업</t>
    <phoneticPr fontId="2" type="noConversion"/>
  </si>
  <si>
    <t>BB+</t>
    <phoneticPr fontId="2" type="noConversion"/>
  </si>
  <si>
    <t>BB0</t>
    <phoneticPr fontId="2" type="noConversion"/>
  </si>
  <si>
    <t>미제출</t>
    <phoneticPr fontId="2" type="noConversion"/>
  </si>
  <si>
    <t>B+</t>
    <phoneticPr fontId="2" type="noConversion"/>
  </si>
  <si>
    <t>B0</t>
    <phoneticPr fontId="2" type="noConversion"/>
  </si>
  <si>
    <t>B-</t>
    <phoneticPr fontId="2" type="noConversion"/>
  </si>
  <si>
    <t>1) 업무정지</t>
    <phoneticPr fontId="2" type="noConversion"/>
  </si>
  <si>
    <t>2) 거짓작성 및 복제</t>
    <phoneticPr fontId="2" type="noConversion"/>
  </si>
  <si>
    <t>3) 부실작성</t>
    <phoneticPr fontId="2" type="noConversion"/>
  </si>
  <si>
    <t>4) 입찰참가제한 및 영업정지(평가업체), 기술자격정지 및 업무정지(평가사)</t>
    <phoneticPr fontId="2" type="noConversion"/>
  </si>
  <si>
    <t>지분율</t>
    <phoneticPr fontId="2" type="noConversion"/>
  </si>
  <si>
    <t>5) 기술자격정지 및 업무정지(평가사)</t>
    <phoneticPr fontId="2" type="noConversion"/>
  </si>
  <si>
    <t>1) ~ 3)「환경형향평가법 시행규칙」[별표3]기준에 의한 행정처분을 받은 경우 적용하고, 4)는 계약관련법 및 「건설기술진흥법」등에 의한 행정처분을 받은 경우 적용</t>
    <phoneticPr fontId="3" type="noConversion"/>
  </si>
  <si>
    <t>지정
번호</t>
    <phoneticPr fontId="2" type="noConversion"/>
  </si>
  <si>
    <t>기술개요</t>
    <phoneticPr fontId="3" type="noConversion"/>
  </si>
  <si>
    <t>최초출원인</t>
    <phoneticPr fontId="3" type="noConversion"/>
  </si>
  <si>
    <t>출원
인수</t>
    <phoneticPr fontId="3" type="noConversion"/>
  </si>
  <si>
    <t>지정(출원)일</t>
    <phoneticPr fontId="3" type="noConversion"/>
  </si>
  <si>
    <t>분야별
가중치</t>
    <phoneticPr fontId="2" type="noConversion"/>
  </si>
  <si>
    <t>건설신기술</t>
    <phoneticPr fontId="3" type="noConversion"/>
  </si>
  <si>
    <t>453호</t>
    <phoneticPr fontId="2" type="noConversion"/>
  </si>
  <si>
    <t>신기술명</t>
    <phoneticPr fontId="3" type="noConversion"/>
  </si>
  <si>
    <t>㈜OOO 외 O인</t>
    <phoneticPr fontId="3" type="noConversion"/>
  </si>
  <si>
    <t>00년 00월</t>
    <phoneticPr fontId="3" type="noConversion"/>
  </si>
  <si>
    <t>신기술 소계</t>
    <phoneticPr fontId="3" type="noConversion"/>
  </si>
  <si>
    <t>특허</t>
    <phoneticPr fontId="3" type="noConversion"/>
  </si>
  <si>
    <t>특허명</t>
    <phoneticPr fontId="3" type="noConversion"/>
  </si>
  <si>
    <t xml:space="preserve"> 특허 20년미만 소계</t>
    <phoneticPr fontId="3" type="noConversion"/>
  </si>
  <si>
    <t>특허 10년미만 소계</t>
    <phoneticPr fontId="3" type="noConversion"/>
  </si>
  <si>
    <t>특허 5년미만 소계</t>
    <phoneticPr fontId="3" type="noConversion"/>
  </si>
  <si>
    <t>실용신안</t>
    <phoneticPr fontId="3" type="noConversion"/>
  </si>
  <si>
    <t>실용신안명</t>
    <phoneticPr fontId="3" type="noConversion"/>
  </si>
  <si>
    <t>실용신안 10년미만 소계</t>
    <phoneticPr fontId="3" type="noConversion"/>
  </si>
  <si>
    <t>실용신안 5년미만 소계</t>
    <phoneticPr fontId="3" type="noConversion"/>
  </si>
  <si>
    <t>연구보고서</t>
    <phoneticPr fontId="3" type="noConversion"/>
  </si>
  <si>
    <t>연구보고서명</t>
    <phoneticPr fontId="3" type="noConversion"/>
  </si>
  <si>
    <t>연구보고서 소계</t>
    <phoneticPr fontId="3" type="noConversion"/>
  </si>
  <si>
    <t>주) 1.</t>
    <phoneticPr fontId="3" type="noConversion"/>
  </si>
  <si>
    <t>증빙서류 좌측에 연번을 반드시 기재후 연번순서대로 제본하여야 합니다.</t>
    <phoneticPr fontId="3" type="noConversion"/>
  </si>
  <si>
    <t xml:space="preserve"> 2.</t>
    <phoneticPr fontId="3" type="noConversion"/>
  </si>
  <si>
    <t>경과기간은 출원일로부터 경과기간을 기재해야 하며, 2인이상 출원시 출원인수로 나누어 산정한 건수로 산정되어집니다.</t>
    <phoneticPr fontId="3" type="noConversion"/>
  </si>
  <si>
    <t>개발실적</t>
    <phoneticPr fontId="3" type="noConversion"/>
  </si>
  <si>
    <t>입찰공고일 :</t>
    <phoneticPr fontId="3" type="noConversion"/>
  </si>
  <si>
    <t>신기술 활용실적 (협력사)</t>
    <phoneticPr fontId="3" type="noConversion"/>
  </si>
  <si>
    <t>종류</t>
    <phoneticPr fontId="3" type="noConversion"/>
  </si>
  <si>
    <t>지정
번호</t>
    <phoneticPr fontId="3" type="noConversion"/>
  </si>
  <si>
    <t>기술명</t>
    <phoneticPr fontId="2" type="noConversion"/>
  </si>
  <si>
    <t>경과기간
가중치</t>
    <phoneticPr fontId="3" type="noConversion"/>
  </si>
  <si>
    <t>실적
건수</t>
    <phoneticPr fontId="3" type="noConversion"/>
  </si>
  <si>
    <t>분야별
가중치</t>
    <phoneticPr fontId="2" type="noConversion"/>
  </si>
  <si>
    <t>금액
가중치</t>
    <phoneticPr fontId="3" type="noConversion"/>
  </si>
  <si>
    <t>건수
가중치</t>
    <phoneticPr fontId="3" type="noConversion"/>
  </si>
  <si>
    <t>점수</t>
    <phoneticPr fontId="3" type="noConversion"/>
  </si>
  <si>
    <t>신기술</t>
    <phoneticPr fontId="3" type="noConversion"/>
  </si>
  <si>
    <t>신기술명</t>
    <phoneticPr fontId="3" type="noConversion"/>
  </si>
  <si>
    <t>특허</t>
    <phoneticPr fontId="3" type="noConversion"/>
  </si>
  <si>
    <t>특허명</t>
    <phoneticPr fontId="3" type="noConversion"/>
  </si>
  <si>
    <t>실용신안</t>
    <phoneticPr fontId="3" type="noConversion"/>
  </si>
  <si>
    <t>실용신안명</t>
    <phoneticPr fontId="3" type="noConversion"/>
  </si>
  <si>
    <t>구분</t>
    <phoneticPr fontId="2" type="noConversion"/>
  </si>
  <si>
    <t>최근3년간
하도급
준수여부</t>
    <phoneticPr fontId="2" type="noConversion"/>
  </si>
  <si>
    <t>입찰불성실 여부</t>
    <phoneticPr fontId="2" type="noConversion"/>
  </si>
  <si>
    <t>단순</t>
  </si>
  <si>
    <t>미시행</t>
  </si>
  <si>
    <t>하도급 준수여부</t>
    <phoneticPr fontId="2" type="noConversion"/>
  </si>
  <si>
    <t>입찰불성실</t>
    <phoneticPr fontId="2" type="noConversion"/>
  </si>
  <si>
    <t>용역실적증명서의 참여평가자 명단이 누락 되었거나, 참여평가자 명단에 해당 평가자가 누락된 경우에는 해당실적을 인정하지 않습니다.</t>
    <phoneticPr fontId="3" type="noConversion"/>
  </si>
  <si>
    <t>참여평갖자가 발주청 및 엔지니어 등 수행한 용역을 기초로 해당 양식을 사용하여 작성 합니다.</t>
    <phoneticPr fontId="3" type="noConversion"/>
  </si>
  <si>
    <t>발주청(발주사 포함)에서 직접 자체설계한 실적은 감독관리건수에 포함하여 작성합니다.</t>
    <phoneticPr fontId="3" type="noConversion"/>
  </si>
  <si>
    <t>용역실적증명서의 참여평가자 명단이 누락 되었거나, 참여평가자 명단에 해당 참여평가자가 누락된 경우에는 해당실적을 인정하지 않습니다.</t>
    <phoneticPr fontId="3" type="noConversion"/>
  </si>
  <si>
    <t>총괄평가자, 분야별책임평가자 및 평가자별로 작성합니다.(LH전자조달시스템 업무중복도 작서요령 참조)</t>
    <phoneticPr fontId="3" type="noConversion"/>
  </si>
  <si>
    <t>착수일</t>
    <phoneticPr fontId="3" type="noConversion"/>
  </si>
  <si>
    <t>※신고자의 경력에 해당하는 양식을  사용하여 작성합니다. 합계건수가 평가자 시트에 입력 되도록 확인합니다.</t>
    <phoneticPr fontId="3" type="noConversion"/>
  </si>
  <si>
    <t>사업수행능력평서에 경력계수가 1.0은 형광색, 0.6은 주황핵으로 표시하여 제출하시기 바랍니다</t>
    <phoneticPr fontId="2" type="noConversion"/>
  </si>
  <si>
    <t>페이지</t>
    <phoneticPr fontId="2" type="noConversion"/>
  </si>
  <si>
    <t>PQ서류 제출일</t>
    <phoneticPr fontId="2" type="noConversion"/>
  </si>
  <si>
    <t>입찰공고일</t>
    <phoneticPr fontId="3" type="noConversion"/>
  </si>
</sst>
</file>

<file path=xl/styles.xml><?xml version="1.0" encoding="utf-8"?>
<styleSheet xmlns="http://schemas.openxmlformats.org/spreadsheetml/2006/main">
  <numFmts count="40">
    <numFmt numFmtId="41" formatCode="_-* #,##0_-;\-* #,##0_-;_-* &quot;-&quot;_-;_-@_-"/>
    <numFmt numFmtId="176" formatCode="0.0_ "/>
    <numFmt numFmtId="177" formatCode="0.00_ "/>
    <numFmt numFmtId="178" formatCode="0.0%"/>
    <numFmt numFmtId="179" formatCode="_-* #,##0.0_-;\-* #,##0.0_-;_-* &quot;-&quot;_-;_-@_-"/>
    <numFmt numFmtId="180" formatCode="_-* #,##0.00_-;\-* #,##0.00_-;_-* &quot;-&quot;_-;_-@_-"/>
    <numFmt numFmtId="181" formatCode="General&quot;년이상&quot;"/>
    <numFmt numFmtId="182" formatCode="General&quot;건이상&quot;"/>
    <numFmt numFmtId="183" formatCode="General&quot;건미만&quot;"/>
    <numFmt numFmtId="184" formatCode="General&quot;년미만&quot;"/>
    <numFmt numFmtId="185" formatCode="0.0%&quot;이상&quot;"/>
    <numFmt numFmtId="186" formatCode="0.0%&quot;미만&quot;"/>
    <numFmt numFmtId="187" formatCode="_-* #,##0.00_-;\-* #,##0.00_-;_-* &quot;-&quot;?_-;_-@_-"/>
    <numFmt numFmtId="188" formatCode="General&quot;명&quot;"/>
    <numFmt numFmtId="189" formatCode="General&quot;건&quot;"/>
    <numFmt numFmtId="190" formatCode="0_);[Red]\(0\)"/>
    <numFmt numFmtId="191" formatCode="0.0_);[Red]\(0.0\)"/>
    <numFmt numFmtId="192" formatCode="0.00_);[Red]\(0.00\)"/>
    <numFmt numFmtId="193" formatCode="##"/>
    <numFmt numFmtId="194" formatCode="General&quot;이상&quot;"/>
    <numFmt numFmtId="195" formatCode="#,##0_ "/>
    <numFmt numFmtId="196" formatCode="#,##0.00_ "/>
    <numFmt numFmtId="197" formatCode="#,##0;[Black]#,##0"/>
    <numFmt numFmtId="198" formatCode="#,##0.00;[Black]#,##0.00"/>
    <numFmt numFmtId="199" formatCode="yy&quot;년&quot;/mm&quot;월&quot;"/>
    <numFmt numFmtId="200" formatCode="0.00&quot;건&quot;"/>
    <numFmt numFmtId="201" formatCode="0%&quot;이&quot;&quot;상&quot;"/>
    <numFmt numFmtId="202" formatCode="#,##0&quot;천&quot;&quot;원&quot;"/>
    <numFmt numFmtId="203" formatCode="0.000_ "/>
    <numFmt numFmtId="204" formatCode="00.0&quot;개월&quot;"/>
    <numFmt numFmtId="205" formatCode="0.00&quot;억원&quot;"/>
    <numFmt numFmtId="206" formatCode="yyyy&quot;-&quot;m&quot;-&quot;d;@"/>
    <numFmt numFmtId="207" formatCode="General&quot;분야 책임평가자&quot;"/>
    <numFmt numFmtId="208" formatCode="General&quot;분야책임평가자&quot;"/>
    <numFmt numFmtId="209" formatCode="0.000_);[Red]\(0.000\)"/>
    <numFmt numFmtId="210" formatCode="0.0000_ "/>
    <numFmt numFmtId="212" formatCode="00.00&quot;년&quot;"/>
    <numFmt numFmtId="213" formatCode="0&quot;개월&quot;"/>
    <numFmt numFmtId="214" formatCode="0&quot;일&quot;"/>
    <numFmt numFmtId="215" formatCode="#,##0.0_ "/>
  </numFmts>
  <fonts count="7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5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1"/>
      <name val="굴림"/>
      <family val="3"/>
      <charset val="129"/>
    </font>
    <font>
      <sz val="11"/>
      <color indexed="81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휴먼명조"/>
      <family val="3"/>
      <charset val="129"/>
    </font>
    <font>
      <sz val="10"/>
      <name val="휴먼명조"/>
      <family val="3"/>
      <charset val="129"/>
    </font>
    <font>
      <b/>
      <sz val="10"/>
      <color indexed="10"/>
      <name val="휴먼명조"/>
      <family val="3"/>
      <charset val="129"/>
    </font>
    <font>
      <b/>
      <sz val="9"/>
      <name val="휴먼명조"/>
      <family val="3"/>
      <charset val="129"/>
    </font>
    <font>
      <sz val="9"/>
      <name val="휴먼명조"/>
      <family val="3"/>
      <charset val="129"/>
    </font>
    <font>
      <sz val="9"/>
      <color indexed="10"/>
      <name val="휴먼명조"/>
      <family val="3"/>
      <charset val="129"/>
    </font>
    <font>
      <sz val="9"/>
      <color rgb="FFFF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0"/>
      <color indexed="81"/>
      <name val="돋움"/>
      <family val="3"/>
      <charset val="129"/>
    </font>
    <font>
      <sz val="11"/>
      <name val="휴먼명조"/>
      <family val="3"/>
      <charset val="129"/>
    </font>
    <font>
      <b/>
      <sz val="12"/>
      <name val="휴먼명조"/>
      <family val="3"/>
      <charset val="129"/>
    </font>
    <font>
      <b/>
      <sz val="16"/>
      <name val="휴먼명조"/>
      <family val="3"/>
      <charset val="129"/>
    </font>
    <font>
      <sz val="16"/>
      <name val="휴먼명조"/>
      <family val="3"/>
      <charset val="129"/>
    </font>
    <font>
      <sz val="13"/>
      <name val="휴먼명조"/>
      <family val="3"/>
      <charset val="129"/>
    </font>
    <font>
      <sz val="12"/>
      <name val="휴먼명조"/>
      <family val="3"/>
      <charset val="129"/>
    </font>
    <font>
      <b/>
      <sz val="11"/>
      <name val="휴먼명조"/>
      <family val="3"/>
      <charset val="129"/>
    </font>
    <font>
      <sz val="10"/>
      <color indexed="8"/>
      <name val="휴먼명조"/>
      <family val="3"/>
      <charset val="129"/>
    </font>
    <font>
      <b/>
      <sz val="15"/>
      <name val="휴먼명조"/>
      <family val="3"/>
      <charset val="129"/>
    </font>
    <font>
      <sz val="15"/>
      <name val="휴먼명조"/>
      <family val="3"/>
      <charset val="129"/>
    </font>
    <font>
      <b/>
      <sz val="7"/>
      <name val="휴먼명조"/>
      <family val="3"/>
      <charset val="129"/>
    </font>
    <font>
      <sz val="7"/>
      <name val="휴먼명조"/>
      <family val="3"/>
      <charset val="129"/>
    </font>
    <font>
      <b/>
      <sz val="9"/>
      <color indexed="10"/>
      <name val="휴먼명조"/>
      <family val="3"/>
      <charset val="129"/>
    </font>
    <font>
      <b/>
      <sz val="14"/>
      <name val="휴먼명조"/>
      <family val="3"/>
      <charset val="129"/>
    </font>
    <font>
      <sz val="14"/>
      <name val="휴먼명조"/>
      <family val="3"/>
      <charset val="129"/>
    </font>
    <font>
      <b/>
      <sz val="13"/>
      <name val="휴먼명조"/>
      <family val="3"/>
      <charset val="129"/>
    </font>
    <font>
      <b/>
      <sz val="13"/>
      <color indexed="10"/>
      <name val="휴먼명조"/>
      <family val="3"/>
      <charset val="129"/>
    </font>
    <font>
      <sz val="10"/>
      <color indexed="10"/>
      <name val="휴먼명조"/>
      <family val="3"/>
      <charset val="129"/>
    </font>
    <font>
      <b/>
      <sz val="8"/>
      <name val="휴먼명조"/>
      <family val="3"/>
      <charset val="129"/>
    </font>
    <font>
      <sz val="8"/>
      <name val="휴먼명조"/>
      <family val="3"/>
      <charset val="129"/>
    </font>
    <font>
      <b/>
      <sz val="12"/>
      <color indexed="63"/>
      <name val="휴먼명조"/>
      <family val="3"/>
      <charset val="129"/>
    </font>
    <font>
      <sz val="12"/>
      <color indexed="63"/>
      <name val="휴먼명조"/>
      <family val="3"/>
      <charset val="129"/>
    </font>
    <font>
      <sz val="12"/>
      <color indexed="8"/>
      <name val="휴먼명조"/>
      <family val="3"/>
      <charset val="129"/>
    </font>
    <font>
      <b/>
      <sz val="8"/>
      <color indexed="10"/>
      <name val="휴먼명조"/>
      <family val="3"/>
      <charset val="129"/>
    </font>
    <font>
      <sz val="13"/>
      <color indexed="10"/>
      <name val="휴먼명조"/>
      <family val="3"/>
      <charset val="129"/>
    </font>
    <font>
      <b/>
      <sz val="12"/>
      <color indexed="8"/>
      <name val="휴먼명조"/>
      <family val="3"/>
      <charset val="129"/>
    </font>
    <font>
      <sz val="11"/>
      <color indexed="8"/>
      <name val="휴먼명조"/>
      <family val="3"/>
      <charset val="129"/>
    </font>
    <font>
      <sz val="9"/>
      <color indexed="8"/>
      <name val="휴먼명조"/>
      <family val="3"/>
      <charset val="129"/>
    </font>
    <font>
      <b/>
      <sz val="10"/>
      <color indexed="8"/>
      <name val="휴먼명조"/>
      <family val="3"/>
      <charset val="129"/>
    </font>
    <font>
      <sz val="13"/>
      <color indexed="8"/>
      <name val="휴먼명조"/>
      <family val="3"/>
      <charset val="129"/>
    </font>
    <font>
      <b/>
      <sz val="13"/>
      <color indexed="8"/>
      <name val="휴먼명조"/>
      <family val="3"/>
      <charset val="129"/>
    </font>
    <font>
      <sz val="8.8000000000000007"/>
      <color indexed="8"/>
      <name val="휴먼명조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59999389629810485"/>
        <bgColor indexed="64"/>
      </patternFill>
    </fill>
  </fills>
  <borders count="2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8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8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 style="thin">
        <color indexed="8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/>
  </cellStyleXfs>
  <cellXfs count="127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Fill="1">
      <alignment vertical="center"/>
    </xf>
    <xf numFmtId="0" fontId="5" fillId="0" borderId="0" xfId="0" applyFont="1">
      <alignment vertical="center"/>
    </xf>
    <xf numFmtId="49" fontId="28" fillId="0" borderId="25" xfId="48" applyNumberFormat="1" applyFont="1" applyFill="1" applyBorder="1" applyAlignment="1">
      <alignment horizontal="center" vertical="center" wrapText="1"/>
    </xf>
    <xf numFmtId="177" fontId="28" fillId="0" borderId="25" xfId="48" applyNumberFormat="1" applyFont="1" applyBorder="1" applyAlignment="1">
      <alignment horizontal="center" vertical="center" wrapText="1"/>
    </xf>
    <xf numFmtId="0" fontId="29" fillId="24" borderId="61" xfId="48" applyFont="1" applyFill="1" applyBorder="1" applyAlignment="1">
      <alignment horizontal="center" vertical="center" wrapText="1"/>
    </xf>
    <xf numFmtId="0" fontId="29" fillId="24" borderId="25" xfId="48" applyFont="1" applyFill="1" applyBorder="1" applyAlignment="1">
      <alignment vertical="center" wrapText="1"/>
    </xf>
    <xf numFmtId="0" fontId="29" fillId="24" borderId="31" xfId="48" applyFont="1" applyFill="1" applyBorder="1" applyAlignment="1">
      <alignment horizontal="center" vertical="center" wrapText="1"/>
    </xf>
    <xf numFmtId="14" fontId="29" fillId="24" borderId="25" xfId="29" applyNumberFormat="1" applyFont="1" applyFill="1" applyBorder="1" applyAlignment="1">
      <alignment horizontal="center" vertical="center" wrapText="1"/>
    </xf>
    <xf numFmtId="190" fontId="29" fillId="31" borderId="25" xfId="29" applyNumberFormat="1" applyFont="1" applyFill="1" applyBorder="1" applyAlignment="1">
      <alignment horizontal="center" vertical="center" wrapText="1"/>
    </xf>
    <xf numFmtId="178" fontId="29" fillId="31" borderId="31" xfId="29" applyNumberFormat="1" applyFont="1" applyFill="1" applyBorder="1" applyAlignment="1">
      <alignment vertical="center" wrapText="1"/>
    </xf>
    <xf numFmtId="191" fontId="29" fillId="34" borderId="31" xfId="48" applyNumberFormat="1" applyFont="1" applyFill="1" applyBorder="1" applyAlignment="1" applyProtection="1">
      <alignment horizontal="center" vertical="center" wrapText="1"/>
      <protection locked="0"/>
    </xf>
    <xf numFmtId="191" fontId="29" fillId="34" borderId="25" xfId="33" applyNumberFormat="1" applyFont="1" applyFill="1" applyBorder="1" applyAlignment="1">
      <alignment horizontal="center" vertical="center" wrapText="1"/>
    </xf>
    <xf numFmtId="177" fontId="29" fillId="31" borderId="25" xfId="48" applyNumberFormat="1" applyFont="1" applyFill="1" applyBorder="1" applyAlignment="1">
      <alignment horizontal="center" vertical="center" wrapText="1"/>
    </xf>
    <xf numFmtId="0" fontId="29" fillId="24" borderId="62" xfId="48" applyFont="1" applyFill="1" applyBorder="1" applyAlignment="1">
      <alignment horizontal="center" vertical="center" wrapText="1"/>
    </xf>
    <xf numFmtId="14" fontId="29" fillId="24" borderId="31" xfId="29" applyNumberFormat="1" applyFont="1" applyFill="1" applyBorder="1" applyAlignment="1">
      <alignment horizontal="center" vertical="center" wrapText="1"/>
    </xf>
    <xf numFmtId="177" fontId="30" fillId="31" borderId="103" xfId="33" applyNumberFormat="1" applyFont="1" applyFill="1" applyBorder="1" applyAlignment="1">
      <alignment horizontal="center" vertical="center" wrapText="1"/>
    </xf>
    <xf numFmtId="180" fontId="31" fillId="0" borderId="101" xfId="33" applyNumberFormat="1" applyFont="1" applyBorder="1" applyAlignment="1">
      <alignment horizontal="left" vertical="center"/>
    </xf>
    <xf numFmtId="180" fontId="31" fillId="0" borderId="101" xfId="33" applyNumberFormat="1" applyFont="1" applyBorder="1" applyAlignment="1">
      <alignment horizontal="left" vertical="center" wrapText="1"/>
    </xf>
    <xf numFmtId="180" fontId="31" fillId="0" borderId="0" xfId="33" applyNumberFormat="1" applyFont="1" applyBorder="1" applyAlignment="1">
      <alignment horizontal="left" vertical="center" wrapText="1"/>
    </xf>
    <xf numFmtId="180" fontId="31" fillId="0" borderId="0" xfId="33" applyNumberFormat="1" applyFont="1" applyBorder="1" applyAlignment="1">
      <alignment horizontal="center" vertical="center" wrapText="1"/>
    </xf>
    <xf numFmtId="180" fontId="32" fillId="0" borderId="0" xfId="33" applyNumberFormat="1" applyFont="1" applyAlignment="1">
      <alignment horizontal="center" vertical="center" wrapText="1"/>
    </xf>
    <xf numFmtId="180" fontId="31" fillId="0" borderId="142" xfId="33" applyNumberFormat="1" applyFont="1" applyBorder="1" applyAlignment="1">
      <alignment horizontal="center" vertical="center" wrapText="1"/>
    </xf>
    <xf numFmtId="180" fontId="31" fillId="0" borderId="105" xfId="33" applyNumberFormat="1" applyFont="1" applyBorder="1" applyAlignment="1">
      <alignment horizontal="center" vertical="center" wrapText="1"/>
    </xf>
    <xf numFmtId="180" fontId="31" fillId="0" borderId="106" xfId="33" applyNumberFormat="1" applyFont="1" applyBorder="1" applyAlignment="1">
      <alignment horizontal="center" vertical="center" wrapText="1"/>
    </xf>
    <xf numFmtId="180" fontId="31" fillId="0" borderId="107" xfId="33" applyNumberFormat="1" applyFont="1" applyBorder="1" applyAlignment="1">
      <alignment horizontal="center" vertical="center" wrapText="1"/>
    </xf>
    <xf numFmtId="180" fontId="31" fillId="0" borderId="108" xfId="33" applyNumberFormat="1" applyFont="1" applyBorder="1" applyAlignment="1">
      <alignment horizontal="center" vertical="center" wrapText="1"/>
    </xf>
    <xf numFmtId="0" fontId="31" fillId="0" borderId="0" xfId="46" applyFont="1" applyFill="1" applyBorder="1" applyAlignment="1">
      <alignment horizontal="center" vertical="center"/>
    </xf>
    <xf numFmtId="180" fontId="32" fillId="25" borderId="12" xfId="33" applyNumberFormat="1" applyFont="1" applyFill="1" applyBorder="1" applyAlignment="1">
      <alignment horizontal="center" vertical="center" wrapText="1"/>
    </xf>
    <xf numFmtId="180" fontId="33" fillId="32" borderId="12" xfId="33" applyNumberFormat="1" applyFont="1" applyFill="1" applyBorder="1" applyAlignment="1">
      <alignment horizontal="center" vertical="center" wrapText="1"/>
    </xf>
    <xf numFmtId="10" fontId="33" fillId="32" borderId="11" xfId="29" applyNumberFormat="1" applyFont="1" applyFill="1" applyBorder="1" applyAlignment="1">
      <alignment horizontal="center" vertical="center" wrapText="1"/>
    </xf>
    <xf numFmtId="0" fontId="31" fillId="0" borderId="25" xfId="46" applyFont="1" applyBorder="1" applyAlignment="1">
      <alignment horizontal="center" vertical="center"/>
    </xf>
    <xf numFmtId="206" fontId="31" fillId="32" borderId="25" xfId="46" applyNumberFormat="1" applyFont="1" applyFill="1" applyBorder="1" applyAlignment="1">
      <alignment horizontal="center" vertical="center"/>
    </xf>
    <xf numFmtId="0" fontId="31" fillId="0" borderId="0" xfId="46" applyFont="1" applyBorder="1" applyAlignment="1">
      <alignment horizontal="center" vertical="center"/>
    </xf>
    <xf numFmtId="0" fontId="31" fillId="34" borderId="25" xfId="46" applyFont="1" applyFill="1" applyBorder="1" applyAlignment="1">
      <alignment horizontal="center" vertical="center"/>
    </xf>
    <xf numFmtId="180" fontId="32" fillId="25" borderId="157" xfId="33" applyNumberFormat="1" applyFont="1" applyFill="1" applyBorder="1" applyAlignment="1">
      <alignment horizontal="center" vertical="center" wrapText="1"/>
    </xf>
    <xf numFmtId="180" fontId="32" fillId="25" borderId="46" xfId="33" applyNumberFormat="1" applyFont="1" applyFill="1" applyBorder="1" applyAlignment="1">
      <alignment horizontal="center" vertical="center" wrapText="1"/>
    </xf>
    <xf numFmtId="10" fontId="32" fillId="31" borderId="219" xfId="29" applyNumberFormat="1" applyFont="1" applyFill="1" applyBorder="1" applyAlignment="1">
      <alignment horizontal="center" vertical="center" wrapText="1"/>
    </xf>
    <xf numFmtId="180" fontId="32" fillId="0" borderId="0" xfId="33" applyNumberFormat="1" applyFont="1" applyFill="1" applyBorder="1" applyAlignment="1">
      <alignment horizontal="center" vertical="center" wrapText="1"/>
    </xf>
    <xf numFmtId="10" fontId="32" fillId="0" borderId="0" xfId="29" applyNumberFormat="1" applyFont="1" applyFill="1" applyBorder="1" applyAlignment="1">
      <alignment horizontal="center" vertical="center" wrapText="1"/>
    </xf>
    <xf numFmtId="188" fontId="32" fillId="0" borderId="0" xfId="33" applyNumberFormat="1" applyFont="1" applyFill="1" applyBorder="1" applyAlignment="1">
      <alignment horizontal="center" vertical="center"/>
    </xf>
    <xf numFmtId="180" fontId="32" fillId="0" borderId="0" xfId="33" applyNumberFormat="1" applyFont="1" applyFill="1" applyAlignment="1">
      <alignment horizontal="center" vertical="center" wrapText="1"/>
    </xf>
    <xf numFmtId="180" fontId="32" fillId="0" borderId="101" xfId="33" applyNumberFormat="1" applyFont="1" applyBorder="1" applyAlignment="1">
      <alignment horizontal="center" vertical="center" wrapText="1"/>
    </xf>
    <xf numFmtId="188" fontId="32" fillId="0" borderId="101" xfId="33" applyNumberFormat="1" applyFont="1" applyFill="1" applyBorder="1" applyAlignment="1">
      <alignment horizontal="center" vertical="center"/>
    </xf>
    <xf numFmtId="180" fontId="32" fillId="0" borderId="0" xfId="33" applyNumberFormat="1" applyFont="1" applyBorder="1" applyAlignment="1">
      <alignment horizontal="center" vertical="center" wrapText="1"/>
    </xf>
    <xf numFmtId="180" fontId="31" fillId="0" borderId="13" xfId="33" applyNumberFormat="1" applyFont="1" applyBorder="1" applyAlignment="1">
      <alignment horizontal="center" vertical="center" wrapText="1"/>
    </xf>
    <xf numFmtId="41" fontId="31" fillId="0" borderId="13" xfId="33" applyFont="1" applyBorder="1" applyAlignment="1">
      <alignment horizontal="center" vertical="center" wrapText="1"/>
    </xf>
    <xf numFmtId="180" fontId="31" fillId="0" borderId="14" xfId="33" applyNumberFormat="1" applyFont="1" applyBorder="1" applyAlignment="1">
      <alignment horizontal="center" vertical="center" wrapText="1"/>
    </xf>
    <xf numFmtId="180" fontId="32" fillId="25" borderId="76" xfId="33" applyNumberFormat="1" applyFont="1" applyFill="1" applyBorder="1" applyAlignment="1">
      <alignment horizontal="center" vertical="center" wrapText="1"/>
    </xf>
    <xf numFmtId="180" fontId="32" fillId="0" borderId="115" xfId="33" applyNumberFormat="1" applyFont="1" applyFill="1" applyBorder="1" applyAlignment="1">
      <alignment horizontal="center" vertical="center" wrapText="1"/>
    </xf>
    <xf numFmtId="180" fontId="33" fillId="0" borderId="64" xfId="33" applyNumberFormat="1" applyFont="1" applyFill="1" applyBorder="1" applyAlignment="1">
      <alignment horizontal="center" vertical="center" wrapText="1"/>
    </xf>
    <xf numFmtId="180" fontId="32" fillId="0" borderId="0" xfId="33" applyNumberFormat="1" applyFont="1" applyFill="1" applyBorder="1" applyAlignment="1">
      <alignment horizontal="center" vertical="center" wrapText="1"/>
    </xf>
    <xf numFmtId="180" fontId="32" fillId="0" borderId="11" xfId="33" applyNumberFormat="1" applyFont="1" applyFill="1" applyBorder="1" applyAlignment="1">
      <alignment horizontal="center" vertical="center" wrapText="1"/>
    </xf>
    <xf numFmtId="177" fontId="32" fillId="31" borderId="11" xfId="33" applyNumberFormat="1" applyFont="1" applyFill="1" applyBorder="1" applyAlignment="1">
      <alignment horizontal="center" vertical="center" wrapText="1"/>
    </xf>
    <xf numFmtId="0" fontId="32" fillId="0" borderId="166" xfId="33" applyNumberFormat="1" applyFont="1" applyFill="1" applyBorder="1" applyAlignment="1">
      <alignment horizontal="center" vertical="center" wrapText="1"/>
    </xf>
    <xf numFmtId="180" fontId="32" fillId="0" borderId="167" xfId="33" applyNumberFormat="1" applyFont="1" applyFill="1" applyBorder="1" applyAlignment="1">
      <alignment horizontal="center" vertical="center" wrapText="1"/>
    </xf>
    <xf numFmtId="180" fontId="32" fillId="25" borderId="11" xfId="33" applyNumberFormat="1" applyFont="1" applyFill="1" applyBorder="1" applyAlignment="1">
      <alignment horizontal="center" vertical="center" wrapText="1"/>
    </xf>
    <xf numFmtId="181" fontId="32" fillId="25" borderId="11" xfId="33" applyNumberFormat="1" applyFont="1" applyFill="1" applyBorder="1" applyAlignment="1">
      <alignment horizontal="center" vertical="center" wrapText="1"/>
    </xf>
    <xf numFmtId="181" fontId="32" fillId="25" borderId="156" xfId="33" applyNumberFormat="1" applyFont="1" applyFill="1" applyBorder="1" applyAlignment="1">
      <alignment horizontal="center" vertical="center" wrapText="1"/>
    </xf>
    <xf numFmtId="184" fontId="32" fillId="0" borderId="0" xfId="33" applyNumberFormat="1" applyFont="1" applyFill="1" applyBorder="1" applyAlignment="1">
      <alignment horizontal="center" vertical="center" wrapText="1"/>
    </xf>
    <xf numFmtId="177" fontId="32" fillId="31" borderId="170" xfId="33" applyNumberFormat="1" applyFont="1" applyFill="1" applyBorder="1" applyAlignment="1">
      <alignment horizontal="center" vertical="center" wrapText="1"/>
    </xf>
    <xf numFmtId="177" fontId="34" fillId="0" borderId="0" xfId="33" applyNumberFormat="1" applyFont="1" applyFill="1" applyBorder="1" applyAlignment="1">
      <alignment horizontal="center" vertical="center" wrapText="1"/>
    </xf>
    <xf numFmtId="0" fontId="31" fillId="0" borderId="220" xfId="46" applyFont="1" applyBorder="1" applyAlignment="1">
      <alignment horizontal="center" vertical="center"/>
    </xf>
    <xf numFmtId="180" fontId="32" fillId="0" borderId="222" xfId="33" applyNumberFormat="1" applyFont="1" applyBorder="1" applyAlignment="1">
      <alignment horizontal="center" vertical="center" wrapText="1"/>
    </xf>
    <xf numFmtId="182" fontId="32" fillId="25" borderId="11" xfId="33" applyNumberFormat="1" applyFont="1" applyFill="1" applyBorder="1" applyAlignment="1">
      <alignment horizontal="center" vertical="center" wrapText="1"/>
    </xf>
    <xf numFmtId="183" fontId="32" fillId="25" borderId="11" xfId="33" applyNumberFormat="1" applyFont="1" applyFill="1" applyBorder="1" applyAlignment="1">
      <alignment horizontal="center" vertical="center" wrapText="1"/>
    </xf>
    <xf numFmtId="183" fontId="32" fillId="0" borderId="165" xfId="33" applyNumberFormat="1" applyFont="1" applyFill="1" applyBorder="1" applyAlignment="1">
      <alignment horizontal="center" vertical="center" wrapText="1"/>
    </xf>
    <xf numFmtId="9" fontId="31" fillId="0" borderId="221" xfId="46" applyNumberFormat="1" applyFont="1" applyBorder="1" applyAlignment="1">
      <alignment horizontal="center" vertical="center"/>
    </xf>
    <xf numFmtId="9" fontId="31" fillId="0" borderId="222" xfId="46" applyNumberFormat="1" applyFont="1" applyFill="1" applyBorder="1" applyAlignment="1">
      <alignment horizontal="center" vertical="center"/>
    </xf>
    <xf numFmtId="177" fontId="32" fillId="0" borderId="0" xfId="33" applyNumberFormat="1" applyFont="1" applyFill="1" applyBorder="1" applyAlignment="1">
      <alignment horizontal="center" vertical="center" wrapText="1"/>
    </xf>
    <xf numFmtId="180" fontId="32" fillId="0" borderId="164" xfId="33" applyNumberFormat="1" applyFont="1" applyFill="1" applyBorder="1" applyAlignment="1">
      <alignment horizontal="center" vertical="center" wrapText="1"/>
    </xf>
    <xf numFmtId="180" fontId="32" fillId="0" borderId="165" xfId="33" applyNumberFormat="1" applyFont="1" applyFill="1" applyBorder="1" applyAlignment="1">
      <alignment horizontal="center" vertical="center" wrapText="1"/>
    </xf>
    <xf numFmtId="0" fontId="32" fillId="31" borderId="11" xfId="33" applyNumberFormat="1" applyFont="1" applyFill="1" applyBorder="1" applyAlignment="1">
      <alignment horizontal="center" vertical="center" wrapText="1"/>
    </xf>
    <xf numFmtId="180" fontId="32" fillId="30" borderId="76" xfId="33" applyNumberFormat="1" applyFont="1" applyFill="1" applyBorder="1" applyAlignment="1">
      <alignment horizontal="center" vertical="center" wrapText="1"/>
    </xf>
    <xf numFmtId="180" fontId="32" fillId="30" borderId="83" xfId="33" applyNumberFormat="1" applyFont="1" applyFill="1" applyBorder="1" applyAlignment="1">
      <alignment horizontal="center" vertical="center" wrapText="1"/>
    </xf>
    <xf numFmtId="180" fontId="32" fillId="0" borderId="51" xfId="33" applyNumberFormat="1" applyFont="1" applyFill="1" applyBorder="1" applyAlignment="1">
      <alignment horizontal="center" vertical="center" wrapText="1"/>
    </xf>
    <xf numFmtId="9" fontId="31" fillId="0" borderId="223" xfId="46" applyNumberFormat="1" applyFont="1" applyBorder="1" applyAlignment="1">
      <alignment horizontal="center" vertical="center"/>
    </xf>
    <xf numFmtId="177" fontId="32" fillId="27" borderId="11" xfId="33" applyNumberFormat="1" applyFont="1" applyFill="1" applyBorder="1" applyAlignment="1">
      <alignment horizontal="center" vertical="center" wrapText="1"/>
    </xf>
    <xf numFmtId="177" fontId="32" fillId="27" borderId="12" xfId="33" applyNumberFormat="1" applyFont="1" applyFill="1" applyBorder="1" applyAlignment="1">
      <alignment horizontal="center" vertical="center" wrapText="1"/>
    </xf>
    <xf numFmtId="183" fontId="32" fillId="0" borderId="164" xfId="33" applyNumberFormat="1" applyFont="1" applyFill="1" applyBorder="1" applyAlignment="1">
      <alignment horizontal="center" vertical="center" wrapText="1"/>
    </xf>
    <xf numFmtId="177" fontId="34" fillId="0" borderId="51" xfId="33" applyNumberFormat="1" applyFont="1" applyFill="1" applyBorder="1" applyAlignment="1">
      <alignment horizontal="center" vertical="center" wrapText="1"/>
    </xf>
    <xf numFmtId="177" fontId="32" fillId="0" borderId="51" xfId="33" applyNumberFormat="1" applyFont="1" applyFill="1" applyBorder="1" applyAlignment="1">
      <alignment horizontal="center" vertical="center" wrapText="1"/>
    </xf>
    <xf numFmtId="180" fontId="32" fillId="0" borderId="28" xfId="33" applyNumberFormat="1" applyFont="1" applyBorder="1" applyAlignment="1">
      <alignment horizontal="center" vertical="center" wrapText="1"/>
    </xf>
    <xf numFmtId="177" fontId="32" fillId="0" borderId="164" xfId="33" applyNumberFormat="1" applyFont="1" applyFill="1" applyBorder="1" applyAlignment="1">
      <alignment horizontal="center" vertical="center" wrapText="1"/>
    </xf>
    <xf numFmtId="177" fontId="32" fillId="0" borderId="165" xfId="33" applyNumberFormat="1" applyFont="1" applyFill="1" applyBorder="1" applyAlignment="1">
      <alignment horizontal="center" vertical="center" wrapText="1"/>
    </xf>
    <xf numFmtId="180" fontId="32" fillId="0" borderId="31" xfId="33" applyNumberFormat="1" applyFont="1" applyBorder="1" applyAlignment="1">
      <alignment horizontal="center" vertical="center" wrapText="1"/>
    </xf>
    <xf numFmtId="177" fontId="32" fillId="0" borderId="119" xfId="33" applyNumberFormat="1" applyFont="1" applyFill="1" applyBorder="1" applyAlignment="1">
      <alignment horizontal="center" vertical="center" wrapText="1"/>
    </xf>
    <xf numFmtId="177" fontId="32" fillId="0" borderId="101" xfId="33" applyNumberFormat="1" applyFont="1" applyFill="1" applyBorder="1" applyAlignment="1">
      <alignment horizontal="center" vertical="center" wrapText="1"/>
    </xf>
    <xf numFmtId="203" fontId="32" fillId="26" borderId="12" xfId="33" applyNumberFormat="1" applyFont="1" applyFill="1" applyBorder="1" applyAlignment="1">
      <alignment horizontal="center" vertical="center" wrapText="1"/>
    </xf>
    <xf numFmtId="180" fontId="32" fillId="0" borderId="51" xfId="33" applyNumberFormat="1" applyFont="1" applyBorder="1" applyAlignment="1">
      <alignment horizontal="center" vertical="center" wrapText="1"/>
    </xf>
    <xf numFmtId="0" fontId="34" fillId="26" borderId="11" xfId="33" applyNumberFormat="1" applyFont="1" applyFill="1" applyBorder="1" applyAlignment="1">
      <alignment horizontal="center" vertical="center" wrapText="1"/>
    </xf>
    <xf numFmtId="176" fontId="34" fillId="26" borderId="11" xfId="33" applyNumberFormat="1" applyFont="1" applyFill="1" applyBorder="1" applyAlignment="1">
      <alignment horizontal="center" vertical="center" wrapText="1"/>
    </xf>
    <xf numFmtId="201" fontId="32" fillId="25" borderId="11" xfId="33" applyNumberFormat="1" applyFont="1" applyFill="1" applyBorder="1" applyAlignment="1">
      <alignment horizontal="center" vertical="center" wrapText="1"/>
    </xf>
    <xf numFmtId="180" fontId="32" fillId="0" borderId="11" xfId="33" applyNumberFormat="1" applyFont="1" applyBorder="1" applyAlignment="1">
      <alignment horizontal="center" vertical="center" wrapText="1"/>
    </xf>
    <xf numFmtId="0" fontId="32" fillId="25" borderId="11" xfId="33" applyNumberFormat="1" applyFont="1" applyFill="1" applyBorder="1" applyAlignment="1">
      <alignment horizontal="center" vertical="center" wrapText="1"/>
    </xf>
    <xf numFmtId="0" fontId="34" fillId="26" borderId="12" xfId="33" applyNumberFormat="1" applyFont="1" applyFill="1" applyBorder="1" applyAlignment="1">
      <alignment horizontal="center" vertical="center" wrapText="1"/>
    </xf>
    <xf numFmtId="9" fontId="34" fillId="26" borderId="11" xfId="29" applyFont="1" applyFill="1" applyBorder="1" applyAlignment="1">
      <alignment horizontal="center" vertical="center" wrapText="1"/>
    </xf>
    <xf numFmtId="185" fontId="32" fillId="25" borderId="11" xfId="33" applyNumberFormat="1" applyFont="1" applyFill="1" applyBorder="1" applyAlignment="1">
      <alignment horizontal="center" vertical="center" wrapText="1"/>
    </xf>
    <xf numFmtId="186" fontId="32" fillId="25" borderId="12" xfId="33" applyNumberFormat="1" applyFont="1" applyFill="1" applyBorder="1" applyAlignment="1">
      <alignment horizontal="center" vertical="center" wrapText="1"/>
    </xf>
    <xf numFmtId="176" fontId="32" fillId="25" borderId="11" xfId="33" applyNumberFormat="1" applyFont="1" applyFill="1" applyBorder="1" applyAlignment="1">
      <alignment horizontal="center" vertical="center" wrapText="1"/>
    </xf>
    <xf numFmtId="176" fontId="32" fillId="25" borderId="12" xfId="33" applyNumberFormat="1" applyFont="1" applyFill="1" applyBorder="1" applyAlignment="1">
      <alignment horizontal="center" vertical="center" wrapText="1"/>
    </xf>
    <xf numFmtId="194" fontId="34" fillId="26" borderId="11" xfId="29" applyNumberFormat="1" applyFont="1" applyFill="1" applyBorder="1" applyAlignment="1">
      <alignment horizontal="center" vertical="center" wrapText="1"/>
    </xf>
    <xf numFmtId="194" fontId="34" fillId="26" borderId="156" xfId="29" applyNumberFormat="1" applyFont="1" applyFill="1" applyBorder="1" applyAlignment="1">
      <alignment horizontal="center" vertical="center" wrapText="1"/>
    </xf>
    <xf numFmtId="194" fontId="34" fillId="26" borderId="11" xfId="33" applyNumberFormat="1" applyFont="1" applyFill="1" applyBorder="1" applyAlignment="1">
      <alignment horizontal="center" vertical="center" wrapText="1"/>
    </xf>
    <xf numFmtId="194" fontId="34" fillId="26" borderId="156" xfId="33" applyNumberFormat="1" applyFont="1" applyFill="1" applyBorder="1" applyAlignment="1">
      <alignment horizontal="center" vertical="center" wrapText="1"/>
    </xf>
    <xf numFmtId="203" fontId="32" fillId="26" borderId="11" xfId="33" applyNumberFormat="1" applyFont="1" applyFill="1" applyBorder="1" applyAlignment="1">
      <alignment horizontal="center" vertical="center" wrapText="1"/>
    </xf>
    <xf numFmtId="180" fontId="32" fillId="0" borderId="0" xfId="33" applyNumberFormat="1" applyFont="1" applyAlignment="1">
      <alignment horizontal="center" vertical="center"/>
    </xf>
    <xf numFmtId="41" fontId="32" fillId="0" borderId="0" xfId="33" applyFont="1" applyAlignment="1">
      <alignment horizontal="center" vertical="center"/>
    </xf>
    <xf numFmtId="41" fontId="32" fillId="0" borderId="0" xfId="33" applyFont="1" applyAlignment="1">
      <alignment horizontal="center" vertical="center" wrapText="1"/>
    </xf>
    <xf numFmtId="0" fontId="28" fillId="0" borderId="102" xfId="48" applyFont="1" applyBorder="1" applyAlignment="1">
      <alignment horizontal="center" vertical="center" wrapText="1"/>
    </xf>
    <xf numFmtId="209" fontId="32" fillId="26" borderId="11" xfId="33" applyNumberFormat="1" applyFont="1" applyFill="1" applyBorder="1" applyAlignment="1">
      <alignment horizontal="center" vertical="center" wrapText="1"/>
    </xf>
    <xf numFmtId="209" fontId="32" fillId="26" borderId="12" xfId="33" applyNumberFormat="1" applyFont="1" applyFill="1" applyBorder="1" applyAlignment="1">
      <alignment horizontal="center" vertical="center" wrapText="1"/>
    </xf>
    <xf numFmtId="203" fontId="32" fillId="26" borderId="10" xfId="33" applyNumberFormat="1" applyFont="1" applyFill="1" applyBorder="1" applyAlignment="1">
      <alignment horizontal="center" vertical="center" wrapText="1"/>
    </xf>
    <xf numFmtId="203" fontId="32" fillId="33" borderId="11" xfId="33" applyNumberFormat="1" applyFont="1" applyFill="1" applyBorder="1" applyAlignment="1">
      <alignment horizontal="center" vertical="center" wrapText="1"/>
    </xf>
    <xf numFmtId="210" fontId="32" fillId="26" borderId="10" xfId="33" applyNumberFormat="1" applyFont="1" applyFill="1" applyBorder="1" applyAlignment="1">
      <alignment horizontal="center" vertical="center" wrapText="1"/>
    </xf>
    <xf numFmtId="180" fontId="32" fillId="0" borderId="209" xfId="33" applyNumberFormat="1" applyFont="1" applyBorder="1" applyAlignment="1">
      <alignment horizontal="center" vertical="center" wrapText="1"/>
    </xf>
    <xf numFmtId="180" fontId="32" fillId="0" borderId="225" xfId="33" applyNumberFormat="1" applyFont="1" applyBorder="1" applyAlignment="1">
      <alignment horizontal="center" vertical="center" wrapText="1"/>
    </xf>
    <xf numFmtId="184" fontId="32" fillId="25" borderId="79" xfId="33" applyNumberFormat="1" applyFont="1" applyFill="1" applyBorder="1" applyAlignment="1">
      <alignment horizontal="center" vertical="center" wrapText="1"/>
    </xf>
    <xf numFmtId="177" fontId="32" fillId="31" borderId="79" xfId="33" applyNumberFormat="1" applyFont="1" applyFill="1" applyBorder="1" applyAlignment="1">
      <alignment horizontal="center" vertical="center" wrapText="1"/>
    </xf>
    <xf numFmtId="180" fontId="32" fillId="0" borderId="174" xfId="33" applyNumberFormat="1" applyFont="1" applyBorder="1" applyAlignment="1">
      <alignment horizontal="center" vertical="center" wrapText="1"/>
    </xf>
    <xf numFmtId="180" fontId="32" fillId="0" borderId="81" xfId="33" applyNumberFormat="1" applyFont="1" applyFill="1" applyBorder="1" applyAlignment="1">
      <alignment horizontal="center" vertical="center" wrapText="1"/>
    </xf>
    <xf numFmtId="0" fontId="32" fillId="31" borderId="81" xfId="33" applyNumberFormat="1" applyFont="1" applyFill="1" applyBorder="1" applyAlignment="1">
      <alignment horizontal="center" vertical="center" wrapText="1"/>
    </xf>
    <xf numFmtId="0" fontId="32" fillId="0" borderId="119" xfId="33" applyNumberFormat="1" applyFont="1" applyFill="1" applyBorder="1" applyAlignment="1">
      <alignment horizontal="center" vertical="center" wrapText="1"/>
    </xf>
    <xf numFmtId="0" fontId="32" fillId="0" borderId="101" xfId="33" applyNumberFormat="1" applyFont="1" applyFill="1" applyBorder="1" applyAlignment="1">
      <alignment horizontal="center" vertical="center" wrapText="1"/>
    </xf>
    <xf numFmtId="180" fontId="32" fillId="0" borderId="58" xfId="33" applyNumberFormat="1" applyFont="1" applyBorder="1" applyAlignment="1">
      <alignment horizontal="center" vertical="center" wrapText="1"/>
    </xf>
    <xf numFmtId="177" fontId="32" fillId="27" borderId="79" xfId="33" applyNumberFormat="1" applyFont="1" applyFill="1" applyBorder="1" applyAlignment="1">
      <alignment horizontal="center" vertical="center" wrapText="1"/>
    </xf>
    <xf numFmtId="203" fontId="32" fillId="26" borderId="79" xfId="33" applyNumberFormat="1" applyFont="1" applyFill="1" applyBorder="1" applyAlignment="1">
      <alignment horizontal="center" vertical="center" wrapText="1"/>
    </xf>
    <xf numFmtId="180" fontId="32" fillId="0" borderId="81" xfId="33" applyNumberFormat="1" applyFont="1" applyBorder="1" applyAlignment="1">
      <alignment horizontal="center" vertical="center" wrapText="1"/>
    </xf>
    <xf numFmtId="210" fontId="32" fillId="26" borderId="117" xfId="33" applyNumberFormat="1" applyFont="1" applyFill="1" applyBorder="1" applyAlignment="1">
      <alignment horizontal="center" vertical="center" wrapText="1"/>
    </xf>
    <xf numFmtId="203" fontId="32" fillId="26" borderId="117" xfId="33" applyNumberFormat="1" applyFont="1" applyFill="1" applyBorder="1" applyAlignment="1">
      <alignment horizontal="center" vertical="center" wrapText="1"/>
    </xf>
    <xf numFmtId="191" fontId="32" fillId="0" borderId="81" xfId="33" applyNumberFormat="1" applyFont="1" applyFill="1" applyBorder="1" applyAlignment="1">
      <alignment horizontal="center" vertical="center" wrapText="1"/>
    </xf>
    <xf numFmtId="191" fontId="34" fillId="26" borderId="81" xfId="33" applyNumberFormat="1" applyFont="1" applyFill="1" applyBorder="1" applyAlignment="1">
      <alignment horizontal="center" vertical="center" wrapText="1"/>
    </xf>
    <xf numFmtId="191" fontId="34" fillId="0" borderId="119" xfId="33" applyNumberFormat="1" applyFont="1" applyFill="1" applyBorder="1" applyAlignment="1">
      <alignment horizontal="center" vertical="center" wrapText="1"/>
    </xf>
    <xf numFmtId="191" fontId="34" fillId="0" borderId="51" xfId="33" applyNumberFormat="1" applyFont="1" applyFill="1" applyBorder="1" applyAlignment="1">
      <alignment horizontal="center" vertical="center" wrapText="1"/>
    </xf>
    <xf numFmtId="180" fontId="31" fillId="0" borderId="232" xfId="33" applyNumberFormat="1" applyFont="1" applyBorder="1" applyAlignment="1">
      <alignment horizontal="center" vertical="center" wrapText="1"/>
    </xf>
    <xf numFmtId="180" fontId="32" fillId="0" borderId="11" xfId="33" applyNumberFormat="1" applyFont="1" applyBorder="1" applyAlignment="1">
      <alignment horizontal="center" vertical="center" wrapText="1"/>
    </xf>
    <xf numFmtId="0" fontId="28" fillId="0" borderId="125" xfId="48" applyFont="1" applyFill="1" applyBorder="1" applyAlignment="1">
      <alignment horizontal="center" vertical="center" wrapText="1"/>
    </xf>
    <xf numFmtId="0" fontId="28" fillId="0" borderId="31" xfId="48" applyFont="1" applyFill="1" applyBorder="1" applyAlignment="1">
      <alignment horizontal="center" vertical="center" wrapText="1"/>
    </xf>
    <xf numFmtId="180" fontId="31" fillId="0" borderId="142" xfId="33" applyNumberFormat="1" applyFont="1" applyBorder="1" applyAlignment="1">
      <alignment horizontal="center" vertical="center" wrapText="1"/>
    </xf>
    <xf numFmtId="180" fontId="32" fillId="0" borderId="64" xfId="33" applyNumberFormat="1" applyFont="1" applyBorder="1" applyAlignment="1">
      <alignment horizontal="center" vertical="center" wrapText="1"/>
    </xf>
    <xf numFmtId="49" fontId="31" fillId="0" borderId="25" xfId="48" applyNumberFormat="1" applyFont="1" applyFill="1" applyBorder="1" applyAlignment="1">
      <alignment horizontal="center" vertical="center" wrapText="1"/>
    </xf>
    <xf numFmtId="177" fontId="31" fillId="0" borderId="25" xfId="48" applyNumberFormat="1" applyFont="1" applyBorder="1" applyAlignment="1">
      <alignment horizontal="center" vertical="center" wrapText="1"/>
    </xf>
    <xf numFmtId="202" fontId="31" fillId="32" borderId="25" xfId="33" applyNumberFormat="1" applyFont="1" applyFill="1" applyBorder="1" applyAlignment="1">
      <alignment horizontal="center" vertical="center" wrapText="1"/>
    </xf>
    <xf numFmtId="180" fontId="31" fillId="0" borderId="25" xfId="33" applyNumberFormat="1" applyFont="1" applyFill="1" applyBorder="1" applyAlignment="1">
      <alignment horizontal="center" vertical="center" wrapText="1"/>
    </xf>
    <xf numFmtId="0" fontId="29" fillId="24" borderId="31" xfId="48" applyFont="1" applyFill="1" applyBorder="1" applyAlignment="1">
      <alignment vertical="center" wrapText="1"/>
    </xf>
    <xf numFmtId="191" fontId="34" fillId="26" borderId="11" xfId="33" applyNumberFormat="1" applyFont="1" applyFill="1" applyBorder="1" applyAlignment="1">
      <alignment horizontal="center" vertical="center" wrapText="1"/>
    </xf>
    <xf numFmtId="9" fontId="34" fillId="33" borderId="11" xfId="29" applyFont="1" applyFill="1" applyBorder="1" applyAlignment="1">
      <alignment horizontal="center" vertical="center" wrapText="1"/>
    </xf>
    <xf numFmtId="0" fontId="32" fillId="0" borderId="0" xfId="33" applyNumberFormat="1" applyFont="1" applyFill="1" applyBorder="1" applyAlignment="1">
      <alignment horizontal="left" vertical="center" wrapText="1"/>
    </xf>
    <xf numFmtId="0" fontId="32" fillId="0" borderId="166" xfId="33" applyNumberFormat="1" applyFont="1" applyFill="1" applyBorder="1" applyAlignment="1">
      <alignment horizontal="left" vertical="center" wrapText="1"/>
    </xf>
    <xf numFmtId="0" fontId="32" fillId="0" borderId="167" xfId="33" applyNumberFormat="1" applyFont="1" applyFill="1" applyBorder="1" applyAlignment="1">
      <alignment horizontal="left" vertical="center" wrapText="1"/>
    </xf>
    <xf numFmtId="180" fontId="32" fillId="25" borderId="10" xfId="33" applyNumberFormat="1" applyFont="1" applyFill="1" applyBorder="1" applyAlignment="1">
      <alignment horizontal="center" vertical="center" wrapText="1"/>
    </xf>
    <xf numFmtId="191" fontId="32" fillId="0" borderId="11" xfId="33" applyNumberFormat="1" applyFont="1" applyFill="1" applyBorder="1" applyAlignment="1">
      <alignment horizontal="center" vertical="center" wrapText="1"/>
    </xf>
    <xf numFmtId="180" fontId="32" fillId="0" borderId="142" xfId="33" applyNumberFormat="1" applyFont="1" applyBorder="1" applyAlignment="1">
      <alignment horizontal="center" vertical="center" wrapText="1"/>
    </xf>
    <xf numFmtId="182" fontId="32" fillId="25" borderId="76" xfId="33" applyNumberFormat="1" applyFont="1" applyFill="1" applyBorder="1" applyAlignment="1">
      <alignment horizontal="center" vertical="center" wrapText="1"/>
    </xf>
    <xf numFmtId="180" fontId="32" fillId="0" borderId="0" xfId="33" quotePrefix="1" applyNumberFormat="1" applyFont="1" applyBorder="1" applyAlignment="1">
      <alignment horizontal="center" vertical="center" wrapText="1"/>
    </xf>
    <xf numFmtId="180" fontId="32" fillId="0" borderId="81" xfId="33" quotePrefix="1" applyNumberFormat="1" applyFont="1" applyBorder="1" applyAlignment="1">
      <alignment horizontal="center" vertical="center" wrapText="1"/>
    </xf>
    <xf numFmtId="180" fontId="32" fillId="0" borderId="165" xfId="33" applyNumberFormat="1" applyFont="1" applyBorder="1" applyAlignment="1">
      <alignment horizontal="center" vertical="center" wrapText="1"/>
    </xf>
    <xf numFmtId="0" fontId="34" fillId="0" borderId="51" xfId="33" applyNumberFormat="1" applyFont="1" applyBorder="1" applyAlignment="1">
      <alignment horizontal="center" vertical="center" wrapText="1"/>
    </xf>
    <xf numFmtId="0" fontId="32" fillId="0" borderId="51" xfId="33" applyNumberFormat="1" applyFont="1" applyBorder="1" applyAlignment="1">
      <alignment horizontal="center" vertical="center" wrapText="1"/>
    </xf>
    <xf numFmtId="0" fontId="34" fillId="0" borderId="166" xfId="33" applyNumberFormat="1" applyFont="1" applyBorder="1" applyAlignment="1">
      <alignment horizontal="center" vertical="center" wrapText="1"/>
    </xf>
    <xf numFmtId="180" fontId="32" fillId="0" borderId="164" xfId="33" applyNumberFormat="1" applyFont="1" applyBorder="1" applyAlignment="1">
      <alignment horizontal="center" vertical="center" wrapText="1"/>
    </xf>
    <xf numFmtId="180" fontId="32" fillId="0" borderId="166" xfId="33" applyNumberFormat="1" applyFont="1" applyBorder="1" applyAlignment="1">
      <alignment horizontal="center" vertical="center" wrapText="1"/>
    </xf>
    <xf numFmtId="180" fontId="32" fillId="0" borderId="167" xfId="33" applyNumberFormat="1" applyFont="1" applyBorder="1" applyAlignment="1">
      <alignment horizontal="center" vertical="center" wrapText="1"/>
    </xf>
    <xf numFmtId="9" fontId="34" fillId="0" borderId="12" xfId="29" applyFont="1" applyFill="1" applyBorder="1" applyAlignment="1">
      <alignment horizontal="center" vertical="center" wrapText="1"/>
    </xf>
    <xf numFmtId="176" fontId="34" fillId="26" borderId="81" xfId="33" applyNumberFormat="1" applyFont="1" applyFill="1" applyBorder="1" applyAlignment="1">
      <alignment horizontal="center" vertical="center" wrapText="1"/>
    </xf>
    <xf numFmtId="201" fontId="32" fillId="0" borderId="0" xfId="33" applyNumberFormat="1" applyFont="1" applyFill="1" applyBorder="1" applyAlignment="1">
      <alignment horizontal="center" vertical="center" wrapText="1"/>
    </xf>
    <xf numFmtId="0" fontId="34" fillId="0" borderId="0" xfId="33" applyNumberFormat="1" applyFont="1" applyFill="1" applyBorder="1" applyAlignment="1">
      <alignment horizontal="center" vertical="center" wrapText="1"/>
    </xf>
    <xf numFmtId="183" fontId="32" fillId="25" borderId="76" xfId="33" applyNumberFormat="1" applyFont="1" applyFill="1" applyBorder="1" applyAlignment="1">
      <alignment horizontal="center" vertical="center" wrapText="1"/>
    </xf>
    <xf numFmtId="0" fontId="32" fillId="25" borderId="76" xfId="33" applyNumberFormat="1" applyFont="1" applyFill="1" applyBorder="1" applyAlignment="1">
      <alignment horizontal="center" vertical="center" wrapText="1"/>
    </xf>
    <xf numFmtId="0" fontId="32" fillId="0" borderId="115" xfId="33" applyNumberFormat="1" applyFont="1" applyBorder="1" applyAlignment="1">
      <alignment horizontal="center" vertical="center" wrapText="1"/>
    </xf>
    <xf numFmtId="180" fontId="32" fillId="0" borderId="115" xfId="33" applyNumberFormat="1" applyFont="1" applyBorder="1" applyAlignment="1">
      <alignment horizontal="center" vertical="center" wrapText="1"/>
    </xf>
    <xf numFmtId="0" fontId="32" fillId="0" borderId="115" xfId="33" applyNumberFormat="1" applyFont="1" applyFill="1" applyBorder="1" applyAlignment="1">
      <alignment horizontal="left" vertical="center" wrapText="1"/>
    </xf>
    <xf numFmtId="0" fontId="32" fillId="0" borderId="64" xfId="33" applyNumberFormat="1" applyFont="1" applyFill="1" applyBorder="1" applyAlignment="1">
      <alignment horizontal="left" vertical="center" wrapText="1"/>
    </xf>
    <xf numFmtId="0" fontId="31" fillId="0" borderId="13" xfId="33" applyNumberFormat="1" applyFont="1" applyBorder="1" applyAlignment="1">
      <alignment horizontal="center" vertical="center" wrapText="1"/>
    </xf>
    <xf numFmtId="180" fontId="32" fillId="0" borderId="109" xfId="33" applyNumberFormat="1" applyFont="1" applyBorder="1" applyAlignment="1">
      <alignment horizontal="center" vertical="center" wrapText="1"/>
    </xf>
    <xf numFmtId="0" fontId="31" fillId="0" borderId="64" xfId="46" applyFont="1" applyFill="1" applyBorder="1" applyAlignment="1">
      <alignment horizontal="center" vertical="center"/>
    </xf>
    <xf numFmtId="0" fontId="42" fillId="0" borderId="0" xfId="0" applyFont="1">
      <alignment vertical="center"/>
    </xf>
    <xf numFmtId="0" fontId="42" fillId="0" borderId="0" xfId="0" applyFont="1" applyFill="1">
      <alignment vertical="center"/>
    </xf>
    <xf numFmtId="0" fontId="46" fillId="0" borderId="0" xfId="0" applyFont="1">
      <alignment vertical="center"/>
    </xf>
    <xf numFmtId="0" fontId="45" fillId="0" borderId="0" xfId="0" applyFont="1" applyFill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3" fillId="26" borderId="25" xfId="0" applyFont="1" applyFill="1" applyBorder="1" applyAlignment="1">
      <alignment horizontal="center" vertical="center"/>
    </xf>
    <xf numFmtId="0" fontId="43" fillId="26" borderId="58" xfId="0" applyFont="1" applyFill="1" applyBorder="1" applyAlignment="1">
      <alignment horizontal="center" vertical="center"/>
    </xf>
    <xf numFmtId="0" fontId="43" fillId="26" borderId="59" xfId="0" applyFont="1" applyFill="1" applyBorder="1" applyAlignment="1">
      <alignment horizontal="center" vertical="center"/>
    </xf>
    <xf numFmtId="0" fontId="47" fillId="0" borderId="54" xfId="0" applyFont="1" applyFill="1" applyBorder="1" applyAlignment="1">
      <alignment horizontal="center" vertical="center" wrapText="1"/>
    </xf>
    <xf numFmtId="0" fontId="43" fillId="0" borderId="55" xfId="33" applyNumberFormat="1" applyFont="1" applyFill="1" applyBorder="1" applyAlignment="1">
      <alignment horizontal="center" vertical="center"/>
    </xf>
    <xf numFmtId="180" fontId="43" fillId="31" borderId="26" xfId="33" applyNumberFormat="1" applyFont="1" applyFill="1" applyBorder="1" applyAlignment="1">
      <alignment horizontal="center" vertical="center"/>
    </xf>
    <xf numFmtId="180" fontId="43" fillId="0" borderId="26" xfId="33" applyNumberFormat="1" applyFont="1" applyFill="1" applyBorder="1" applyAlignment="1">
      <alignment horizontal="center" vertical="center"/>
    </xf>
    <xf numFmtId="0" fontId="46" fillId="0" borderId="0" xfId="0" applyFont="1" applyFill="1">
      <alignment vertical="center"/>
    </xf>
    <xf numFmtId="0" fontId="47" fillId="0" borderId="53" xfId="0" applyFont="1" applyFill="1" applyBorder="1" applyAlignment="1">
      <alignment horizontal="center" vertical="center" wrapText="1"/>
    </xf>
    <xf numFmtId="0" fontId="43" fillId="0" borderId="56" xfId="33" applyNumberFormat="1" applyFont="1" applyFill="1" applyBorder="1" applyAlignment="1">
      <alignment horizontal="center" vertical="center"/>
    </xf>
    <xf numFmtId="180" fontId="43" fillId="31" borderId="29" xfId="33" applyNumberFormat="1" applyFont="1" applyFill="1" applyBorder="1" applyAlignment="1">
      <alignment horizontal="center" vertical="center"/>
    </xf>
    <xf numFmtId="180" fontId="43" fillId="0" borderId="29" xfId="33" applyNumberFormat="1" applyFont="1" applyFill="1" applyBorder="1" applyAlignment="1">
      <alignment horizontal="center" vertical="center"/>
    </xf>
    <xf numFmtId="0" fontId="43" fillId="0" borderId="100" xfId="33" applyNumberFormat="1" applyFont="1" applyFill="1" applyBorder="1" applyAlignment="1">
      <alignment horizontal="center" vertical="center"/>
    </xf>
    <xf numFmtId="180" fontId="43" fillId="31" borderId="57" xfId="33" applyNumberFormat="1" applyFont="1" applyFill="1" applyBorder="1" applyAlignment="1">
      <alignment horizontal="center" vertical="center"/>
    </xf>
    <xf numFmtId="180" fontId="43" fillId="0" borderId="57" xfId="33" applyNumberFormat="1" applyFont="1" applyFill="1" applyBorder="1" applyAlignment="1">
      <alignment horizontal="center" vertical="center"/>
    </xf>
    <xf numFmtId="0" fontId="47" fillId="0" borderId="130" xfId="0" applyFont="1" applyFill="1" applyBorder="1" applyAlignment="1">
      <alignment horizontal="center" vertical="center" wrapText="1"/>
    </xf>
    <xf numFmtId="0" fontId="47" fillId="0" borderId="30" xfId="0" applyFont="1" applyFill="1" applyBorder="1" applyAlignment="1">
      <alignment horizontal="center" vertical="center"/>
    </xf>
    <xf numFmtId="0" fontId="42" fillId="0" borderId="0" xfId="0" applyFont="1" applyFill="1" applyBorder="1">
      <alignment vertical="center"/>
    </xf>
    <xf numFmtId="180" fontId="42" fillId="0" borderId="0" xfId="33" applyNumberFormat="1" applyFont="1" applyFill="1" applyBorder="1" applyAlignment="1">
      <alignment horizontal="center" vertical="center"/>
    </xf>
    <xf numFmtId="0" fontId="47" fillId="0" borderId="130" xfId="0" applyFont="1" applyFill="1" applyBorder="1" applyAlignment="1">
      <alignment horizontal="center" vertical="center"/>
    </xf>
    <xf numFmtId="0" fontId="47" fillId="0" borderId="173" xfId="0" applyFont="1" applyFill="1" applyBorder="1" applyAlignment="1">
      <alignment horizontal="center" vertical="center"/>
    </xf>
    <xf numFmtId="0" fontId="47" fillId="0" borderId="33" xfId="0" applyFont="1" applyFill="1" applyBorder="1" applyAlignment="1">
      <alignment horizontal="center" vertical="center" wrapText="1"/>
    </xf>
    <xf numFmtId="0" fontId="47" fillId="0" borderId="57" xfId="0" applyFont="1" applyFill="1" applyBorder="1" applyAlignment="1">
      <alignment horizontal="center" vertical="center" wrapText="1"/>
    </xf>
    <xf numFmtId="180" fontId="43" fillId="0" borderId="25" xfId="33" applyNumberFormat="1" applyFont="1" applyFill="1" applyBorder="1" applyAlignment="1">
      <alignment horizontal="center" vertical="center"/>
    </xf>
    <xf numFmtId="177" fontId="43" fillId="0" borderId="109" xfId="33" applyNumberFormat="1" applyFont="1" applyFill="1" applyBorder="1" applyAlignment="1">
      <alignment vertical="center"/>
    </xf>
    <xf numFmtId="180" fontId="43" fillId="31" borderId="25" xfId="33" applyNumberFormat="1" applyFont="1" applyFill="1" applyBorder="1" applyAlignment="1">
      <alignment horizontal="center" vertical="center"/>
    </xf>
    <xf numFmtId="180" fontId="42" fillId="0" borderId="0" xfId="33" applyNumberFormat="1" applyFont="1" applyFill="1">
      <alignment vertical="center"/>
    </xf>
    <xf numFmtId="0" fontId="48" fillId="0" borderId="0" xfId="0" applyFont="1" applyFill="1">
      <alignment vertical="center"/>
    </xf>
    <xf numFmtId="0" fontId="42" fillId="0" borderId="0" xfId="0" applyFont="1" applyFill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43" fillId="0" borderId="0" xfId="0" applyFont="1">
      <alignment vertical="center"/>
    </xf>
    <xf numFmtId="0" fontId="47" fillId="0" borderId="0" xfId="0" applyFont="1">
      <alignment vertical="center"/>
    </xf>
    <xf numFmtId="0" fontId="48" fillId="0" borderId="0" xfId="0" applyFont="1">
      <alignment vertical="center"/>
    </xf>
    <xf numFmtId="0" fontId="29" fillId="0" borderId="0" xfId="0" applyFont="1" applyFill="1">
      <alignment vertical="center"/>
    </xf>
    <xf numFmtId="0" fontId="29" fillId="26" borderId="24" xfId="0" applyFont="1" applyFill="1" applyBorder="1" applyAlignment="1">
      <alignment horizontal="center" vertical="center"/>
    </xf>
    <xf numFmtId="0" fontId="29" fillId="26" borderId="25" xfId="0" applyFont="1" applyFill="1" applyBorder="1" applyAlignment="1">
      <alignment horizontal="center" vertical="center"/>
    </xf>
    <xf numFmtId="0" fontId="29" fillId="26" borderId="25" xfId="0" applyFont="1" applyFill="1" applyBorder="1" applyAlignment="1">
      <alignment horizontal="center" vertical="center" wrapText="1"/>
    </xf>
    <xf numFmtId="0" fontId="29" fillId="26" borderId="109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9" fillId="0" borderId="26" xfId="0" applyFont="1" applyFill="1" applyBorder="1" applyAlignment="1">
      <alignment horizontal="center" vertical="center"/>
    </xf>
    <xf numFmtId="0" fontId="29" fillId="34" borderId="26" xfId="0" applyFont="1" applyFill="1" applyBorder="1" applyAlignment="1">
      <alignment horizontal="center" vertical="center"/>
    </xf>
    <xf numFmtId="192" fontId="29" fillId="0" borderId="27" xfId="0" applyNumberFormat="1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192" fontId="29" fillId="31" borderId="29" xfId="33" applyNumberFormat="1" applyFont="1" applyFill="1" applyBorder="1" applyAlignment="1">
      <alignment vertical="center"/>
    </xf>
    <xf numFmtId="192" fontId="29" fillId="0" borderId="30" xfId="0" applyNumberFormat="1" applyFont="1" applyFill="1" applyBorder="1" applyAlignment="1">
      <alignment horizontal="center" vertical="center"/>
    </xf>
    <xf numFmtId="0" fontId="29" fillId="0" borderId="32" xfId="0" applyFont="1" applyFill="1" applyBorder="1" applyAlignment="1">
      <alignment horizontal="center" vertical="center"/>
    </xf>
    <xf numFmtId="192" fontId="29" fillId="31" borderId="32" xfId="0" applyNumberFormat="1" applyFont="1" applyFill="1" applyBorder="1" applyAlignment="1">
      <alignment vertical="center"/>
    </xf>
    <xf numFmtId="0" fontId="29" fillId="28" borderId="25" xfId="0" applyFont="1" applyFill="1" applyBorder="1" applyAlignment="1">
      <alignment horizontal="center" vertical="center" wrapText="1"/>
    </xf>
    <xf numFmtId="192" fontId="29" fillId="0" borderId="33" xfId="0" applyNumberFormat="1" applyFont="1" applyFill="1" applyBorder="1" applyAlignment="1">
      <alignment horizontal="center" vertical="center"/>
    </xf>
    <xf numFmtId="177" fontId="29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horizontal="left" vertical="center"/>
    </xf>
    <xf numFmtId="0" fontId="29" fillId="26" borderId="59" xfId="0" applyFont="1" applyFill="1" applyBorder="1" applyAlignment="1">
      <alignment horizontal="center" vertical="center"/>
    </xf>
    <xf numFmtId="0" fontId="29" fillId="26" borderId="40" xfId="0" applyFont="1" applyFill="1" applyBorder="1" applyAlignment="1">
      <alignment horizontal="center" vertical="center"/>
    </xf>
    <xf numFmtId="0" fontId="29" fillId="26" borderId="41" xfId="0" applyFont="1" applyFill="1" applyBorder="1" applyAlignment="1">
      <alignment horizontal="center" vertical="center"/>
    </xf>
    <xf numFmtId="41" fontId="29" fillId="26" borderId="41" xfId="0" applyNumberFormat="1" applyFont="1" applyFill="1" applyBorder="1" applyAlignment="1">
      <alignment horizontal="center" vertical="center"/>
    </xf>
    <xf numFmtId="0" fontId="29" fillId="0" borderId="25" xfId="0" applyFont="1" applyFill="1" applyBorder="1" applyAlignment="1">
      <alignment horizontal="center" vertical="center"/>
    </xf>
    <xf numFmtId="180" fontId="29" fillId="24" borderId="34" xfId="33" applyNumberFormat="1" applyFont="1" applyFill="1" applyBorder="1" applyAlignment="1">
      <alignment vertical="center"/>
    </xf>
    <xf numFmtId="180" fontId="29" fillId="24" borderId="35" xfId="33" applyNumberFormat="1" applyFont="1" applyFill="1" applyBorder="1" applyAlignment="1">
      <alignment vertical="center"/>
    </xf>
    <xf numFmtId="0" fontId="29" fillId="0" borderId="36" xfId="0" applyFont="1" applyFill="1" applyBorder="1" applyAlignment="1">
      <alignment horizontal="center" vertical="center"/>
    </xf>
    <xf numFmtId="192" fontId="49" fillId="34" borderId="52" xfId="0" applyNumberFormat="1" applyFont="1" applyFill="1" applyBorder="1" applyAlignment="1">
      <alignment horizontal="center" vertical="center" wrapText="1"/>
    </xf>
    <xf numFmtId="192" fontId="49" fillId="34" borderId="37" xfId="0" applyNumberFormat="1" applyFont="1" applyFill="1" applyBorder="1" applyAlignment="1">
      <alignment horizontal="center" vertical="center" wrapText="1"/>
    </xf>
    <xf numFmtId="177" fontId="29" fillId="0" borderId="36" xfId="0" applyNumberFormat="1" applyFont="1" applyFill="1" applyBorder="1" applyAlignment="1">
      <alignment horizontal="center" vertical="center"/>
    </xf>
    <xf numFmtId="209" fontId="29" fillId="31" borderId="38" xfId="0" applyNumberFormat="1" applyFont="1" applyFill="1" applyBorder="1" applyAlignment="1">
      <alignment vertical="center"/>
    </xf>
    <xf numFmtId="209" fontId="29" fillId="31" borderId="39" xfId="0" applyNumberFormat="1" applyFont="1" applyFill="1" applyBorder="1" applyAlignment="1">
      <alignment vertical="center"/>
    </xf>
    <xf numFmtId="177" fontId="29" fillId="0" borderId="32" xfId="0" applyNumberFormat="1" applyFont="1" applyFill="1" applyBorder="1" applyAlignment="1">
      <alignment vertical="center"/>
    </xf>
    <xf numFmtId="192" fontId="29" fillId="31" borderId="52" xfId="33" applyNumberFormat="1" applyFont="1" applyFill="1" applyBorder="1" applyAlignment="1">
      <alignment vertical="center"/>
    </xf>
    <xf numFmtId="177" fontId="29" fillId="0" borderId="36" xfId="0" applyNumberFormat="1" applyFont="1" applyFill="1" applyBorder="1" applyAlignment="1">
      <alignment vertical="center"/>
    </xf>
    <xf numFmtId="209" fontId="29" fillId="31" borderId="38" xfId="33" applyNumberFormat="1" applyFont="1" applyFill="1" applyBorder="1" applyAlignment="1">
      <alignment vertical="center"/>
    </xf>
    <xf numFmtId="209" fontId="29" fillId="31" borderId="39" xfId="33" applyNumberFormat="1" applyFont="1" applyFill="1" applyBorder="1" applyAlignment="1">
      <alignment vertical="center"/>
    </xf>
    <xf numFmtId="180" fontId="29" fillId="0" borderId="32" xfId="33" applyNumberFormat="1" applyFont="1" applyFill="1" applyBorder="1" applyAlignment="1">
      <alignment vertical="center"/>
    </xf>
    <xf numFmtId="209" fontId="29" fillId="31" borderId="52" xfId="33" applyNumberFormat="1" applyFont="1" applyFill="1" applyBorder="1" applyAlignment="1">
      <alignment vertical="center"/>
    </xf>
    <xf numFmtId="0" fontId="29" fillId="0" borderId="36" xfId="0" applyFont="1" applyFill="1" applyBorder="1" applyAlignment="1">
      <alignment vertical="center"/>
    </xf>
    <xf numFmtId="177" fontId="29" fillId="31" borderId="52" xfId="29" applyNumberFormat="1" applyFont="1" applyFill="1" applyBorder="1" applyAlignment="1">
      <alignment vertical="center"/>
    </xf>
    <xf numFmtId="192" fontId="29" fillId="31" borderId="38" xfId="33" applyNumberFormat="1" applyFont="1" applyFill="1" applyBorder="1" applyAlignment="1">
      <alignment vertical="center"/>
    </xf>
    <xf numFmtId="192" fontId="29" fillId="31" borderId="39" xfId="33" applyNumberFormat="1" applyFont="1" applyFill="1" applyBorder="1" applyAlignment="1">
      <alignment vertical="center"/>
    </xf>
    <xf numFmtId="0" fontId="29" fillId="0" borderId="0" xfId="0" applyFont="1" applyFill="1" applyAlignment="1">
      <alignment vertical="center"/>
    </xf>
    <xf numFmtId="192" fontId="29" fillId="24" borderId="40" xfId="33" applyNumberFormat="1" applyFont="1" applyFill="1" applyBorder="1" applyAlignment="1">
      <alignment vertical="center"/>
    </xf>
    <xf numFmtId="192" fontId="29" fillId="24" borderId="41" xfId="33" applyNumberFormat="1" applyFont="1" applyFill="1" applyBorder="1" applyAlignment="1">
      <alignment vertical="center"/>
    </xf>
    <xf numFmtId="0" fontId="29" fillId="0" borderId="36" xfId="0" applyFont="1" applyFill="1" applyBorder="1">
      <alignment vertical="center"/>
    </xf>
    <xf numFmtId="209" fontId="29" fillId="31" borderId="42" xfId="0" applyNumberFormat="1" applyFont="1" applyFill="1" applyBorder="1" applyAlignment="1">
      <alignment vertical="center"/>
    </xf>
    <xf numFmtId="209" fontId="29" fillId="31" borderId="43" xfId="0" applyNumberFormat="1" applyFont="1" applyFill="1" applyBorder="1" applyAlignment="1">
      <alignment vertical="center"/>
    </xf>
    <xf numFmtId="177" fontId="29" fillId="0" borderId="31" xfId="0" applyNumberFormat="1" applyFont="1" applyFill="1" applyBorder="1" applyAlignment="1">
      <alignment vertical="center"/>
    </xf>
    <xf numFmtId="0" fontId="29" fillId="0" borderId="26" xfId="0" applyFont="1" applyFill="1" applyBorder="1" applyAlignment="1">
      <alignment vertical="center"/>
    </xf>
    <xf numFmtId="192" fontId="29" fillId="31" borderId="44" xfId="0" applyNumberFormat="1" applyFont="1" applyFill="1" applyBorder="1" applyAlignment="1">
      <alignment vertical="center"/>
    </xf>
    <xf numFmtId="192" fontId="29" fillId="31" borderId="45" xfId="0" applyNumberFormat="1" applyFont="1" applyFill="1" applyBorder="1" applyAlignment="1">
      <alignment vertical="center"/>
    </xf>
    <xf numFmtId="177" fontId="29" fillId="0" borderId="28" xfId="0" applyNumberFormat="1" applyFont="1" applyFill="1" applyBorder="1" applyAlignment="1">
      <alignment vertical="center"/>
    </xf>
    <xf numFmtId="41" fontId="29" fillId="24" borderId="25" xfId="33" applyFont="1" applyFill="1" applyBorder="1" applyAlignment="1">
      <alignment vertical="center"/>
    </xf>
    <xf numFmtId="180" fontId="28" fillId="29" borderId="25" xfId="33" applyNumberFormat="1" applyFont="1" applyFill="1" applyBorder="1" applyAlignment="1">
      <alignment vertical="center"/>
    </xf>
    <xf numFmtId="0" fontId="29" fillId="0" borderId="0" xfId="0" applyFont="1" applyFill="1" applyBorder="1">
      <alignment vertical="center"/>
    </xf>
    <xf numFmtId="0" fontId="43" fillId="24" borderId="0" xfId="33" applyNumberFormat="1" applyFont="1" applyFill="1" applyBorder="1" applyAlignment="1">
      <alignment horizontal="center" vertical="center"/>
    </xf>
    <xf numFmtId="0" fontId="28" fillId="0" borderId="0" xfId="33" applyNumberFormat="1" applyFont="1" applyFill="1" applyBorder="1" applyAlignment="1">
      <alignment vertical="center"/>
    </xf>
    <xf numFmtId="0" fontId="29" fillId="0" borderId="0" xfId="33" applyNumberFormat="1" applyFont="1" applyFill="1" applyBorder="1" applyAlignment="1"/>
    <xf numFmtId="177" fontId="29" fillId="0" borderId="0" xfId="48" applyNumberFormat="1" applyFont="1" applyBorder="1" applyAlignment="1">
      <alignment horizontal="left" vertical="top"/>
    </xf>
    <xf numFmtId="0" fontId="29" fillId="0" borderId="0" xfId="48" applyFont="1" applyBorder="1" applyAlignment="1">
      <alignment horizontal="left" vertical="top"/>
    </xf>
    <xf numFmtId="0" fontId="29" fillId="0" borderId="47" xfId="48" applyFont="1" applyBorder="1" applyAlignment="1">
      <alignment horizontal="left" vertical="top"/>
    </xf>
    <xf numFmtId="0" fontId="50" fillId="0" borderId="0" xfId="33" applyNumberFormat="1" applyFont="1" applyFill="1" applyBorder="1" applyAlignment="1">
      <alignment vertical="center"/>
    </xf>
    <xf numFmtId="0" fontId="50" fillId="0" borderId="0" xfId="33" applyNumberFormat="1" applyFont="1" applyFill="1" applyBorder="1" applyAlignment="1">
      <alignment horizontal="center" vertical="center"/>
    </xf>
    <xf numFmtId="0" fontId="51" fillId="0" borderId="0" xfId="33" applyNumberFormat="1" applyFont="1" applyFill="1" applyBorder="1" applyAlignment="1"/>
    <xf numFmtId="177" fontId="51" fillId="0" borderId="0" xfId="48" applyNumberFormat="1" applyFont="1" applyBorder="1" applyAlignment="1">
      <alignment horizontal="left" vertical="top"/>
    </xf>
    <xf numFmtId="0" fontId="51" fillId="0" borderId="0" xfId="48" applyFont="1" applyBorder="1" applyAlignment="1">
      <alignment horizontal="left" vertical="top"/>
    </xf>
    <xf numFmtId="49" fontId="31" fillId="0" borderId="182" xfId="48" applyNumberFormat="1" applyFont="1" applyFill="1" applyBorder="1" applyAlignment="1">
      <alignment horizontal="center" vertical="center" wrapText="1"/>
    </xf>
    <xf numFmtId="0" fontId="52" fillId="0" borderId="0" xfId="48" applyFont="1" applyBorder="1" applyAlignment="1">
      <alignment horizontal="center" vertical="center" wrapText="1"/>
    </xf>
    <xf numFmtId="0" fontId="31" fillId="0" borderId="25" xfId="48" applyFont="1" applyFill="1" applyBorder="1" applyAlignment="1">
      <alignment horizontal="center" vertical="center" wrapText="1"/>
    </xf>
    <xf numFmtId="0" fontId="31" fillId="0" borderId="59" xfId="48" applyFont="1" applyFill="1" applyBorder="1" applyAlignment="1">
      <alignment horizontal="center" vertical="center" wrapText="1"/>
    </xf>
    <xf numFmtId="0" fontId="32" fillId="24" borderId="61" xfId="48" applyFont="1" applyFill="1" applyBorder="1" applyAlignment="1">
      <alignment horizontal="center" vertical="center" wrapText="1"/>
    </xf>
    <xf numFmtId="0" fontId="32" fillId="24" borderId="25" xfId="48" applyFont="1" applyFill="1" applyBorder="1" applyAlignment="1">
      <alignment vertical="center" wrapText="1"/>
    </xf>
    <xf numFmtId="0" fontId="32" fillId="24" borderId="31" xfId="48" applyFont="1" applyFill="1" applyBorder="1" applyAlignment="1">
      <alignment horizontal="center" vertical="center" wrapText="1"/>
    </xf>
    <xf numFmtId="14" fontId="32" fillId="24" borderId="25" xfId="29" applyNumberFormat="1" applyFont="1" applyFill="1" applyBorder="1" applyAlignment="1">
      <alignment horizontal="center" vertical="center" wrapText="1"/>
    </xf>
    <xf numFmtId="190" fontId="32" fillId="31" borderId="59" xfId="29" applyNumberFormat="1" applyFont="1" applyFill="1" applyBorder="1" applyAlignment="1">
      <alignment horizontal="center" vertical="center" wrapText="1"/>
    </xf>
    <xf numFmtId="190" fontId="32" fillId="32" borderId="31" xfId="29" applyNumberFormat="1" applyFont="1" applyFill="1" applyBorder="1" applyAlignment="1">
      <alignment horizontal="center" vertical="center" wrapText="1"/>
    </xf>
    <xf numFmtId="191" fontId="32" fillId="34" borderId="31" xfId="48" applyNumberFormat="1" applyFont="1" applyFill="1" applyBorder="1" applyAlignment="1" applyProtection="1">
      <alignment horizontal="center" vertical="center" wrapText="1"/>
      <protection locked="0"/>
    </xf>
    <xf numFmtId="0" fontId="53" fillId="0" borderId="0" xfId="48" applyFont="1" applyBorder="1" applyAlignment="1">
      <alignment horizontal="center" vertical="top" wrapText="1"/>
    </xf>
    <xf numFmtId="0" fontId="32" fillId="24" borderId="62" xfId="48" applyFont="1" applyFill="1" applyBorder="1" applyAlignment="1">
      <alignment horizontal="center" vertical="center" wrapText="1"/>
    </xf>
    <xf numFmtId="0" fontId="53" fillId="0" borderId="0" xfId="48" applyFont="1" applyBorder="1" applyAlignment="1">
      <alignment horizontal="center" vertical="center" wrapText="1"/>
    </xf>
    <xf numFmtId="0" fontId="42" fillId="0" borderId="0" xfId="48" applyFont="1" applyBorder="1" applyAlignment="1">
      <alignment horizontal="center" vertical="center" wrapText="1"/>
    </xf>
    <xf numFmtId="176" fontId="42" fillId="0" borderId="0" xfId="48" applyNumberFormat="1" applyFont="1" applyBorder="1" applyAlignment="1">
      <alignment horizontal="center" vertical="center" wrapText="1"/>
    </xf>
    <xf numFmtId="14" fontId="32" fillId="24" borderId="31" xfId="29" applyNumberFormat="1" applyFont="1" applyFill="1" applyBorder="1" applyAlignment="1">
      <alignment horizontal="center" vertical="center" wrapText="1"/>
    </xf>
    <xf numFmtId="212" fontId="54" fillId="31" borderId="103" xfId="33" applyNumberFormat="1" applyFont="1" applyFill="1" applyBorder="1" applyAlignment="1">
      <alignment horizontal="center" vertical="center" wrapText="1"/>
    </xf>
    <xf numFmtId="0" fontId="53" fillId="0" borderId="102" xfId="48" applyFont="1" applyBorder="1" applyAlignment="1">
      <alignment horizontal="center" vertical="center" wrapText="1"/>
    </xf>
    <xf numFmtId="0" fontId="29" fillId="0" borderId="0" xfId="48" applyFont="1" applyFill="1" applyBorder="1" applyAlignment="1">
      <alignment horizontal="center" vertical="center"/>
    </xf>
    <xf numFmtId="177" fontId="30" fillId="0" borderId="0" xfId="48" applyNumberFormat="1" applyFont="1" applyBorder="1" applyAlignment="1">
      <alignment horizontal="center" vertical="center"/>
    </xf>
    <xf numFmtId="0" fontId="29" fillId="0" borderId="0" xfId="48" applyFont="1" applyBorder="1" applyAlignment="1">
      <alignment horizontal="center" vertical="center"/>
    </xf>
    <xf numFmtId="190" fontId="29" fillId="0" borderId="0" xfId="48" applyNumberFormat="1" applyFont="1" applyBorder="1" applyAlignment="1">
      <alignment horizontal="center" vertical="center"/>
    </xf>
    <xf numFmtId="49" fontId="29" fillId="0" borderId="0" xfId="48" applyNumberFormat="1" applyFont="1" applyBorder="1" applyAlignment="1">
      <alignment vertical="center"/>
    </xf>
    <xf numFmtId="49" fontId="29" fillId="0" borderId="0" xfId="33" applyNumberFormat="1" applyFont="1" applyBorder="1" applyAlignment="1">
      <alignment horizontal="right" vertical="center"/>
    </xf>
    <xf numFmtId="49" fontId="29" fillId="0" borderId="0" xfId="48" applyNumberFormat="1" applyFont="1" applyBorder="1" applyAlignment="1">
      <alignment horizontal="center" vertical="center"/>
    </xf>
    <xf numFmtId="49" fontId="29" fillId="0" borderId="0" xfId="48" applyNumberFormat="1" applyFont="1" applyFill="1" applyBorder="1" applyAlignment="1">
      <alignment horizontal="left" vertical="center"/>
    </xf>
    <xf numFmtId="49" fontId="29" fillId="0" borderId="0" xfId="48" applyNumberFormat="1" applyFont="1" applyBorder="1" applyAlignment="1">
      <alignment horizontal="left" vertical="center"/>
    </xf>
    <xf numFmtId="49" fontId="29" fillId="0" borderId="0" xfId="48" applyNumberFormat="1" applyFont="1" applyBorder="1" applyAlignment="1">
      <alignment horizontal="left" vertical="center" wrapText="1"/>
    </xf>
    <xf numFmtId="49" fontId="28" fillId="0" borderId="0" xfId="48" applyNumberFormat="1" applyFont="1" applyBorder="1" applyAlignment="1">
      <alignment vertical="center"/>
    </xf>
    <xf numFmtId="0" fontId="29" fillId="0" borderId="0" xfId="48" applyFont="1" applyBorder="1" applyAlignment="1">
      <alignment vertical="center"/>
    </xf>
    <xf numFmtId="41" fontId="29" fillId="0" borderId="0" xfId="33" applyFont="1" applyBorder="1" applyAlignment="1">
      <alignment horizontal="right" vertical="center"/>
    </xf>
    <xf numFmtId="177" fontId="29" fillId="0" borderId="0" xfId="48" applyNumberFormat="1" applyFont="1" applyBorder="1" applyAlignment="1">
      <alignment horizontal="center" vertical="center"/>
    </xf>
    <xf numFmtId="0" fontId="53" fillId="0" borderId="47" xfId="48" applyFont="1" applyBorder="1" applyAlignment="1">
      <alignment horizontal="center" vertical="center"/>
    </xf>
    <xf numFmtId="0" fontId="53" fillId="0" borderId="0" xfId="48" applyFont="1" applyBorder="1" applyAlignment="1">
      <alignment vertical="center"/>
    </xf>
    <xf numFmtId="0" fontId="53" fillId="0" borderId="50" xfId="48" applyFont="1" applyBorder="1" applyAlignment="1">
      <alignment vertical="center"/>
    </xf>
    <xf numFmtId="41" fontId="53" fillId="0" borderId="0" xfId="33" applyFont="1" applyBorder="1" applyAlignment="1">
      <alignment horizontal="right" vertical="center"/>
    </xf>
    <xf numFmtId="177" fontId="53" fillId="0" borderId="0" xfId="48" applyNumberFormat="1" applyFont="1" applyBorder="1" applyAlignment="1">
      <alignment horizontal="center" vertical="center"/>
    </xf>
    <xf numFmtId="0" fontId="53" fillId="0" borderId="0" xfId="48" applyFont="1" applyBorder="1" applyAlignment="1">
      <alignment horizontal="center" vertical="center"/>
    </xf>
    <xf numFmtId="0" fontId="53" fillId="0" borderId="47" xfId="48" applyFont="1" applyBorder="1" applyAlignment="1">
      <alignment vertical="center"/>
    </xf>
    <xf numFmtId="0" fontId="53" fillId="0" borderId="51" xfId="48" applyFont="1" applyBorder="1" applyAlignment="1">
      <alignment vertical="center"/>
    </xf>
    <xf numFmtId="0" fontId="43" fillId="0" borderId="0" xfId="48" applyFont="1" applyBorder="1" applyAlignment="1">
      <alignment horizontal="center" vertical="center"/>
    </xf>
    <xf numFmtId="0" fontId="43" fillId="0" borderId="142" xfId="33" applyNumberFormat="1" applyFont="1" applyFill="1" applyBorder="1" applyAlignment="1">
      <alignment horizontal="left" vertical="center"/>
    </xf>
    <xf numFmtId="0" fontId="31" fillId="0" borderId="0" xfId="48" applyFont="1" applyFill="1" applyBorder="1" applyAlignment="1">
      <alignment horizontal="center" vertical="center" wrapText="1"/>
    </xf>
    <xf numFmtId="212" fontId="54" fillId="0" borderId="0" xfId="33" applyNumberFormat="1" applyFont="1" applyFill="1" applyBorder="1" applyAlignment="1">
      <alignment horizontal="center" vertical="center" wrapText="1"/>
    </xf>
    <xf numFmtId="190" fontId="32" fillId="31" borderId="25" xfId="29" applyNumberFormat="1" applyFont="1" applyFill="1" applyBorder="1" applyAlignment="1">
      <alignment horizontal="center" vertical="center" wrapText="1"/>
    </xf>
    <xf numFmtId="178" fontId="32" fillId="31" borderId="31" xfId="29" applyNumberFormat="1" applyFont="1" applyFill="1" applyBorder="1" applyAlignment="1">
      <alignment vertical="center" wrapText="1"/>
    </xf>
    <xf numFmtId="191" fontId="32" fillId="34" borderId="25" xfId="33" applyNumberFormat="1" applyFont="1" applyFill="1" applyBorder="1" applyAlignment="1">
      <alignment horizontal="center" vertical="center" wrapText="1"/>
    </xf>
    <xf numFmtId="177" fontId="32" fillId="31" borderId="25" xfId="48" applyNumberFormat="1" applyFont="1" applyFill="1" applyBorder="1" applyAlignment="1">
      <alignment horizontal="center" vertical="center" wrapText="1"/>
    </xf>
    <xf numFmtId="177" fontId="54" fillId="31" borderId="103" xfId="33" applyNumberFormat="1" applyFont="1" applyFill="1" applyBorder="1" applyAlignment="1">
      <alignment horizontal="center" vertical="center" wrapText="1"/>
    </xf>
    <xf numFmtId="49" fontId="53" fillId="0" borderId="0" xfId="48" applyNumberFormat="1" applyFont="1" applyBorder="1" applyAlignment="1">
      <alignment horizontal="center" vertical="center"/>
    </xf>
    <xf numFmtId="49" fontId="53" fillId="0" borderId="51" xfId="48" applyNumberFormat="1" applyFont="1" applyBorder="1" applyAlignment="1">
      <alignment horizontal="center" vertical="center"/>
    </xf>
    <xf numFmtId="0" fontId="43" fillId="0" borderId="186" xfId="33" applyNumberFormat="1" applyFont="1" applyFill="1" applyBorder="1" applyAlignment="1">
      <alignment horizontal="left" vertical="center"/>
    </xf>
    <xf numFmtId="0" fontId="43" fillId="0" borderId="237" xfId="33" applyNumberFormat="1" applyFont="1" applyFill="1" applyBorder="1" applyAlignment="1">
      <alignment vertical="center"/>
    </xf>
    <xf numFmtId="0" fontId="43" fillId="0" borderId="0" xfId="33" applyNumberFormat="1" applyFont="1" applyFill="1" applyBorder="1" applyAlignment="1">
      <alignment vertical="center"/>
    </xf>
    <xf numFmtId="0" fontId="47" fillId="0" borderId="0" xfId="33" applyNumberFormat="1" applyFont="1" applyFill="1" applyBorder="1" applyAlignment="1"/>
    <xf numFmtId="177" fontId="47" fillId="0" borderId="0" xfId="48" applyNumberFormat="1" applyFont="1" applyBorder="1" applyAlignment="1">
      <alignment horizontal="left" vertical="top"/>
    </xf>
    <xf numFmtId="0" fontId="47" fillId="0" borderId="0" xfId="48" applyFont="1" applyBorder="1" applyAlignment="1">
      <alignment horizontal="left" vertical="top"/>
    </xf>
    <xf numFmtId="0" fontId="47" fillId="0" borderId="47" xfId="48" applyFont="1" applyBorder="1" applyAlignment="1">
      <alignment horizontal="left" vertical="top"/>
    </xf>
    <xf numFmtId="176" fontId="45" fillId="0" borderId="0" xfId="48" applyNumberFormat="1" applyFont="1" applyBorder="1" applyAlignment="1">
      <alignment horizontal="center" vertical="center" wrapText="1"/>
    </xf>
    <xf numFmtId="0" fontId="29" fillId="0" borderId="0" xfId="48" applyFont="1" applyFill="1" applyBorder="1" applyAlignment="1">
      <alignment horizontal="center" vertical="center" wrapText="1"/>
    </xf>
    <xf numFmtId="177" fontId="30" fillId="0" borderId="0" xfId="33" applyNumberFormat="1" applyFont="1" applyFill="1" applyBorder="1" applyAlignment="1">
      <alignment horizontal="center" vertical="center" wrapText="1"/>
    </xf>
    <xf numFmtId="0" fontId="52" fillId="0" borderId="102" xfId="48" applyFont="1" applyBorder="1" applyAlignment="1">
      <alignment horizontal="center" vertical="center" wrapText="1"/>
    </xf>
    <xf numFmtId="177" fontId="30" fillId="31" borderId="0" xfId="33" applyNumberFormat="1" applyFont="1" applyFill="1" applyBorder="1" applyAlignment="1">
      <alignment horizontal="center" vertical="center" wrapText="1"/>
    </xf>
    <xf numFmtId="0" fontId="43" fillId="0" borderId="46" xfId="33" applyNumberFormat="1" applyFont="1" applyFill="1" applyBorder="1" applyAlignment="1">
      <alignment vertical="center"/>
    </xf>
    <xf numFmtId="0" fontId="55" fillId="0" borderId="0" xfId="0" applyFont="1">
      <alignment vertical="center"/>
    </xf>
    <xf numFmtId="0" fontId="56" fillId="0" borderId="0" xfId="0" applyFont="1">
      <alignment vertical="center"/>
    </xf>
    <xf numFmtId="180" fontId="56" fillId="0" borderId="0" xfId="33" applyNumberFormat="1" applyFont="1">
      <alignment vertical="center"/>
    </xf>
    <xf numFmtId="0" fontId="56" fillId="0" borderId="0" xfId="0" applyFont="1" applyAlignment="1">
      <alignment horizontal="center" vertical="center"/>
    </xf>
    <xf numFmtId="190" fontId="56" fillId="0" borderId="0" xfId="0" applyNumberFormat="1" applyFont="1" applyAlignment="1">
      <alignment horizontal="center" vertical="center"/>
    </xf>
    <xf numFmtId="0" fontId="55" fillId="0" borderId="0" xfId="0" applyFont="1" applyBorder="1" applyAlignment="1">
      <alignment horizontal="left" vertical="center"/>
    </xf>
    <xf numFmtId="0" fontId="46" fillId="0" borderId="0" xfId="0" applyFont="1" applyAlignment="1">
      <alignment vertical="center" wrapText="1"/>
    </xf>
    <xf numFmtId="0" fontId="56" fillId="0" borderId="0" xfId="0" applyFont="1" applyAlignment="1">
      <alignment horizontal="center" vertical="center" wrapText="1"/>
    </xf>
    <xf numFmtId="190" fontId="56" fillId="0" borderId="0" xfId="0" applyNumberFormat="1" applyFont="1" applyAlignment="1">
      <alignment horizontal="center" vertical="center" wrapText="1"/>
    </xf>
    <xf numFmtId="0" fontId="56" fillId="0" borderId="0" xfId="0" applyFont="1" applyAlignment="1">
      <alignment vertical="center" wrapText="1"/>
    </xf>
    <xf numFmtId="0" fontId="55" fillId="0" borderId="0" xfId="0" applyFont="1" applyAlignment="1">
      <alignment horizontal="left" vertical="center" wrapText="1"/>
    </xf>
    <xf numFmtId="0" fontId="28" fillId="0" borderId="25" xfId="0" applyFont="1" applyBorder="1" applyAlignment="1">
      <alignment horizontal="center" vertical="center" wrapText="1"/>
    </xf>
    <xf numFmtId="180" fontId="28" fillId="0" borderId="25" xfId="33" applyNumberFormat="1" applyFont="1" applyBorder="1" applyAlignment="1">
      <alignment horizontal="center" vertical="center" wrapText="1"/>
    </xf>
    <xf numFmtId="14" fontId="28" fillId="24" borderId="25" xfId="48" applyNumberFormat="1" applyFont="1" applyFill="1" applyBorder="1" applyAlignment="1" applyProtection="1">
      <alignment horizontal="center" vertical="center" wrapText="1"/>
      <protection locked="0"/>
    </xf>
    <xf numFmtId="0" fontId="29" fillId="24" borderId="25" xfId="0" applyFont="1" applyFill="1" applyBorder="1" applyAlignment="1">
      <alignment horizontal="center" vertical="center" wrapText="1"/>
    </xf>
    <xf numFmtId="14" fontId="29" fillId="24" borderId="25" xfId="48" applyNumberFormat="1" applyFont="1" applyFill="1" applyBorder="1" applyAlignment="1" applyProtection="1">
      <alignment horizontal="center" vertical="center" wrapText="1"/>
      <protection locked="0"/>
    </xf>
    <xf numFmtId="190" fontId="29" fillId="0" borderId="25" xfId="48" applyNumberFormat="1" applyFont="1" applyFill="1" applyBorder="1" applyAlignment="1" applyProtection="1">
      <alignment horizontal="center" vertical="center" wrapText="1"/>
      <protection locked="0"/>
    </xf>
    <xf numFmtId="195" fontId="29" fillId="24" borderId="25" xfId="33" applyNumberFormat="1" applyFont="1" applyFill="1" applyBorder="1" applyAlignment="1">
      <alignment horizontal="center" vertical="center" wrapText="1"/>
    </xf>
    <xf numFmtId="0" fontId="46" fillId="24" borderId="25" xfId="0" applyFont="1" applyFill="1" applyBorder="1" applyAlignment="1">
      <alignment horizontal="center" vertical="center" wrapText="1"/>
    </xf>
    <xf numFmtId="179" fontId="46" fillId="0" borderId="25" xfId="33" applyNumberFormat="1" applyFont="1" applyFill="1" applyBorder="1" applyAlignment="1">
      <alignment horizontal="center" vertical="center" wrapText="1"/>
    </xf>
    <xf numFmtId="177" fontId="46" fillId="0" borderId="25" xfId="0" applyNumberFormat="1" applyFont="1" applyBorder="1" applyAlignment="1">
      <alignment vertical="center" wrapText="1"/>
    </xf>
    <xf numFmtId="190" fontId="46" fillId="0" borderId="25" xfId="0" applyNumberFormat="1" applyFont="1" applyBorder="1" applyAlignment="1">
      <alignment horizontal="center" vertical="center" wrapText="1"/>
    </xf>
    <xf numFmtId="177" fontId="46" fillId="0" borderId="25" xfId="0" applyNumberFormat="1" applyFont="1" applyBorder="1" applyAlignment="1">
      <alignment horizontal="center" vertical="center" wrapText="1"/>
    </xf>
    <xf numFmtId="204" fontId="58" fillId="0" borderId="25" xfId="0" applyNumberFormat="1" applyFont="1" applyFill="1" applyBorder="1" applyAlignment="1">
      <alignment horizontal="center" vertical="center" wrapText="1"/>
    </xf>
    <xf numFmtId="205" fontId="58" fillId="27" borderId="25" xfId="0" applyNumberFormat="1" applyFont="1" applyFill="1" applyBorder="1" applyAlignment="1">
      <alignment horizontal="center" vertical="center" wrapText="1"/>
    </xf>
    <xf numFmtId="0" fontId="58" fillId="0" borderId="25" xfId="0" applyFont="1" applyFill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179" fontId="46" fillId="0" borderId="64" xfId="33" applyNumberFormat="1" applyFont="1" applyFill="1" applyBorder="1" applyAlignment="1">
      <alignment horizontal="center" vertical="center" wrapText="1"/>
    </xf>
    <xf numFmtId="179" fontId="46" fillId="0" borderId="0" xfId="33" applyNumberFormat="1" applyFont="1" applyFill="1" applyBorder="1" applyAlignment="1">
      <alignment horizontal="center" vertical="center" wrapText="1"/>
    </xf>
    <xf numFmtId="177" fontId="46" fillId="0" borderId="0" xfId="0" applyNumberFormat="1" applyFont="1" applyBorder="1" applyAlignment="1">
      <alignment vertical="center" wrapText="1"/>
    </xf>
    <xf numFmtId="177" fontId="46" fillId="0" borderId="0" xfId="0" applyNumberFormat="1" applyFont="1" applyBorder="1" applyAlignment="1">
      <alignment horizontal="center" vertical="center" wrapText="1"/>
    </xf>
    <xf numFmtId="190" fontId="46" fillId="0" borderId="0" xfId="0" applyNumberFormat="1" applyFont="1" applyBorder="1" applyAlignment="1">
      <alignment horizontal="center" vertical="center" wrapText="1"/>
    </xf>
    <xf numFmtId="0" fontId="43" fillId="0" borderId="101" xfId="0" applyFont="1" applyBorder="1" applyAlignment="1">
      <alignment vertical="center"/>
    </xf>
    <xf numFmtId="0" fontId="46" fillId="0" borderId="64" xfId="0" applyFont="1" applyBorder="1" applyAlignment="1">
      <alignment horizontal="center" vertical="center" wrapText="1"/>
    </xf>
    <xf numFmtId="0" fontId="56" fillId="24" borderId="25" xfId="0" applyFont="1" applyFill="1" applyBorder="1" applyAlignment="1">
      <alignment horizontal="center" vertical="center" wrapText="1"/>
    </xf>
    <xf numFmtId="179" fontId="57" fillId="0" borderId="25" xfId="33" applyNumberFormat="1" applyFont="1" applyFill="1" applyBorder="1" applyAlignment="1">
      <alignment horizontal="center" vertical="center" wrapText="1"/>
    </xf>
    <xf numFmtId="177" fontId="57" fillId="0" borderId="25" xfId="0" applyNumberFormat="1" applyFont="1" applyBorder="1" applyAlignment="1">
      <alignment vertical="center" wrapText="1"/>
    </xf>
    <xf numFmtId="190" fontId="57" fillId="0" borderId="25" xfId="0" applyNumberFormat="1" applyFont="1" applyBorder="1" applyAlignment="1">
      <alignment horizontal="center" vertical="center" wrapText="1"/>
    </xf>
    <xf numFmtId="177" fontId="57" fillId="0" borderId="25" xfId="0" applyNumberFormat="1" applyFont="1" applyBorder="1" applyAlignment="1">
      <alignment horizontal="center" vertical="center" wrapText="1"/>
    </xf>
    <xf numFmtId="180" fontId="59" fillId="25" borderId="12" xfId="33" applyNumberFormat="1" applyFont="1" applyFill="1" applyBorder="1" applyAlignment="1">
      <alignment horizontal="center" vertical="center" wrapText="1"/>
    </xf>
    <xf numFmtId="0" fontId="29" fillId="0" borderId="0" xfId="0" applyFont="1">
      <alignment vertical="center"/>
    </xf>
    <xf numFmtId="180" fontId="29" fillId="0" borderId="0" xfId="33" applyNumberFormat="1" applyFont="1">
      <alignment vertical="center"/>
    </xf>
    <xf numFmtId="0" fontId="29" fillId="0" borderId="0" xfId="0" applyFont="1" applyAlignment="1">
      <alignment horizontal="center" vertical="center"/>
    </xf>
    <xf numFmtId="41" fontId="29" fillId="0" borderId="0" xfId="33" applyFont="1" applyBorder="1" applyAlignment="1">
      <alignment horizontal="center" vertical="center"/>
    </xf>
    <xf numFmtId="180" fontId="42" fillId="0" borderId="0" xfId="33" applyNumberFormat="1" applyFont="1">
      <alignment vertical="center"/>
    </xf>
    <xf numFmtId="0" fontId="42" fillId="0" borderId="0" xfId="0" applyFont="1" applyAlignment="1">
      <alignment horizontal="center" vertical="center"/>
    </xf>
    <xf numFmtId="190" fontId="42" fillId="0" borderId="0" xfId="0" applyNumberFormat="1" applyFont="1" applyAlignment="1">
      <alignment horizontal="center" vertical="center"/>
    </xf>
    <xf numFmtId="0" fontId="60" fillId="0" borderId="0" xfId="0" applyFont="1">
      <alignment vertical="center"/>
    </xf>
    <xf numFmtId="0" fontId="61" fillId="0" borderId="0" xfId="0" applyFont="1">
      <alignment vertical="center"/>
    </xf>
    <xf numFmtId="180" fontId="61" fillId="0" borderId="0" xfId="33" applyNumberFormat="1" applyFont="1">
      <alignment vertical="center"/>
    </xf>
    <xf numFmtId="0" fontId="43" fillId="0" borderId="122" xfId="0" applyFont="1" applyFill="1" applyBorder="1" applyAlignment="1">
      <alignment horizontal="center" vertical="center"/>
    </xf>
    <xf numFmtId="0" fontId="43" fillId="0" borderId="104" xfId="0" applyFont="1" applyFill="1" applyBorder="1" applyAlignment="1">
      <alignment horizontal="center" vertical="center"/>
    </xf>
    <xf numFmtId="0" fontId="43" fillId="0" borderId="123" xfId="0" applyFont="1" applyFill="1" applyBorder="1" applyAlignment="1">
      <alignment horizontal="center" vertical="center"/>
    </xf>
    <xf numFmtId="0" fontId="63" fillId="32" borderId="62" xfId="0" applyFont="1" applyFill="1" applyBorder="1" applyAlignment="1">
      <alignment horizontal="center" vertical="center" wrapText="1"/>
    </xf>
    <xf numFmtId="0" fontId="63" fillId="32" borderId="25" xfId="0" applyFont="1" applyFill="1" applyBorder="1" applyAlignment="1">
      <alignment horizontal="center" vertical="center" wrapText="1"/>
    </xf>
    <xf numFmtId="0" fontId="64" fillId="32" borderId="25" xfId="0" applyFont="1" applyFill="1" applyBorder="1" applyAlignment="1">
      <alignment horizontal="justify" vertical="center" wrapText="1"/>
    </xf>
    <xf numFmtId="0" fontId="63" fillId="0" borderId="63" xfId="0" applyFont="1" applyFill="1" applyBorder="1" applyAlignment="1">
      <alignment horizontal="center" vertical="center" wrapText="1"/>
    </xf>
    <xf numFmtId="0" fontId="47" fillId="32" borderId="62" xfId="0" applyFont="1" applyFill="1" applyBorder="1" applyAlignment="1">
      <alignment horizontal="center" vertical="center"/>
    </xf>
    <xf numFmtId="0" fontId="62" fillId="0" borderId="229" xfId="0" applyFont="1" applyFill="1" applyBorder="1" applyAlignment="1">
      <alignment horizontal="center" vertical="center" wrapText="1"/>
    </xf>
    <xf numFmtId="0" fontId="47" fillId="0" borderId="162" xfId="0" applyFont="1" applyFill="1" applyBorder="1" applyAlignment="1">
      <alignment horizontal="center" vertical="center"/>
    </xf>
    <xf numFmtId="0" fontId="63" fillId="0" borderId="162" xfId="0" applyFont="1" applyFill="1" applyBorder="1" applyAlignment="1">
      <alignment horizontal="center" vertical="center" wrapText="1"/>
    </xf>
    <xf numFmtId="0" fontId="64" fillId="0" borderId="162" xfId="0" applyFont="1" applyFill="1" applyBorder="1" applyAlignment="1">
      <alignment horizontal="justify" vertical="center" wrapText="1"/>
    </xf>
    <xf numFmtId="0" fontId="62" fillId="0" borderId="67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/>
    </xf>
    <xf numFmtId="0" fontId="63" fillId="32" borderId="109" xfId="0" applyFont="1" applyFill="1" applyBorder="1" applyAlignment="1">
      <alignment horizontal="center" vertical="center" wrapText="1"/>
    </xf>
    <xf numFmtId="14" fontId="63" fillId="32" borderId="25" xfId="0" applyNumberFormat="1" applyFont="1" applyFill="1" applyBorder="1" applyAlignment="1">
      <alignment horizontal="center" vertical="center" wrapText="1"/>
    </xf>
    <xf numFmtId="14" fontId="64" fillId="32" borderId="25" xfId="0" applyNumberFormat="1" applyFont="1" applyFill="1" applyBorder="1" applyAlignment="1">
      <alignment horizontal="center" vertical="center" wrapText="1"/>
    </xf>
    <xf numFmtId="190" fontId="64" fillId="31" borderId="25" xfId="0" applyNumberFormat="1" applyFont="1" applyFill="1" applyBorder="1" applyAlignment="1">
      <alignment horizontal="center" vertical="center" wrapText="1"/>
    </xf>
    <xf numFmtId="0" fontId="63" fillId="0" borderId="63" xfId="0" applyNumberFormat="1" applyFont="1" applyFill="1" applyBorder="1" applyAlignment="1">
      <alignment horizontal="center" vertical="center" wrapText="1"/>
    </xf>
    <xf numFmtId="0" fontId="47" fillId="32" borderId="109" xfId="0" applyFont="1" applyFill="1" applyBorder="1" applyAlignment="1">
      <alignment horizontal="center" vertical="center"/>
    </xf>
    <xf numFmtId="49" fontId="63" fillId="0" borderId="63" xfId="0" applyNumberFormat="1" applyFont="1" applyFill="1" applyBorder="1" applyAlignment="1">
      <alignment horizontal="center" vertical="center" wrapText="1"/>
    </xf>
    <xf numFmtId="0" fontId="55" fillId="0" borderId="0" xfId="0" applyFont="1" applyFill="1">
      <alignment vertical="center"/>
    </xf>
    <xf numFmtId="0" fontId="56" fillId="0" borderId="0" xfId="0" applyFont="1" applyFill="1">
      <alignment vertical="center"/>
    </xf>
    <xf numFmtId="9" fontId="56" fillId="0" borderId="0" xfId="29" applyFont="1" applyFill="1">
      <alignment vertical="center"/>
    </xf>
    <xf numFmtId="0" fontId="57" fillId="0" borderId="0" xfId="0" applyFont="1" applyFill="1">
      <alignment vertical="center"/>
    </xf>
    <xf numFmtId="9" fontId="46" fillId="0" borderId="0" xfId="29" applyFont="1" applyFill="1">
      <alignment vertical="center"/>
    </xf>
    <xf numFmtId="0" fontId="46" fillId="0" borderId="70" xfId="0" applyFont="1" applyBorder="1" applyAlignment="1">
      <alignment horizontal="center" vertical="center"/>
    </xf>
    <xf numFmtId="192" fontId="46" fillId="0" borderId="73" xfId="33" applyNumberFormat="1" applyFont="1" applyFill="1" applyBorder="1" applyAlignment="1">
      <alignment horizontal="center" vertical="center"/>
    </xf>
    <xf numFmtId="177" fontId="46" fillId="0" borderId="152" xfId="29" applyNumberFormat="1" applyFont="1" applyFill="1" applyBorder="1" applyAlignment="1">
      <alignment horizontal="center" vertical="center"/>
    </xf>
    <xf numFmtId="9" fontId="46" fillId="0" borderId="70" xfId="29" applyFont="1" applyFill="1" applyBorder="1" applyAlignment="1">
      <alignment horizontal="center" vertical="center"/>
    </xf>
    <xf numFmtId="0" fontId="46" fillId="0" borderId="71" xfId="0" applyFont="1" applyBorder="1" applyAlignment="1">
      <alignment horizontal="center" vertical="center"/>
    </xf>
    <xf numFmtId="192" fontId="46" fillId="0" borderId="74" xfId="33" applyNumberFormat="1" applyFont="1" applyFill="1" applyBorder="1" applyAlignment="1">
      <alignment horizontal="center" vertical="center"/>
    </xf>
    <xf numFmtId="177" fontId="46" fillId="0" borderId="153" xfId="29" applyNumberFormat="1" applyFont="1" applyFill="1" applyBorder="1" applyAlignment="1">
      <alignment horizontal="center" vertical="center"/>
    </xf>
    <xf numFmtId="9" fontId="46" fillId="0" borderId="71" xfId="29" applyFont="1" applyFill="1" applyBorder="1" applyAlignment="1">
      <alignment horizontal="center" vertical="center"/>
    </xf>
    <xf numFmtId="0" fontId="46" fillId="0" borderId="233" xfId="0" applyFont="1" applyBorder="1" applyAlignment="1">
      <alignment horizontal="center" vertical="center"/>
    </xf>
    <xf numFmtId="192" fontId="46" fillId="0" borderId="239" xfId="33" applyNumberFormat="1" applyFont="1" applyFill="1" applyBorder="1" applyAlignment="1">
      <alignment horizontal="center" vertical="center"/>
    </xf>
    <xf numFmtId="177" fontId="46" fillId="0" borderId="233" xfId="29" applyNumberFormat="1" applyFont="1" applyFill="1" applyBorder="1" applyAlignment="1">
      <alignment horizontal="center" vertical="center"/>
    </xf>
    <xf numFmtId="9" fontId="46" fillId="0" borderId="233" xfId="29" applyFont="1" applyFill="1" applyBorder="1" applyAlignment="1">
      <alignment horizontal="center" vertical="center"/>
    </xf>
    <xf numFmtId="9" fontId="46" fillId="0" borderId="73" xfId="29" applyNumberFormat="1" applyFont="1" applyFill="1" applyBorder="1" applyAlignment="1">
      <alignment horizontal="center" vertical="center"/>
    </xf>
    <xf numFmtId="9" fontId="46" fillId="0" borderId="74" xfId="29" applyNumberFormat="1" applyFont="1" applyFill="1" applyBorder="1" applyAlignment="1">
      <alignment horizontal="center" vertical="center"/>
    </xf>
    <xf numFmtId="0" fontId="46" fillId="0" borderId="148" xfId="0" applyFont="1" applyBorder="1" applyAlignment="1">
      <alignment horizontal="center" vertical="center"/>
    </xf>
    <xf numFmtId="9" fontId="46" fillId="0" borderId="147" xfId="29" applyNumberFormat="1" applyFont="1" applyFill="1" applyBorder="1" applyAlignment="1">
      <alignment horizontal="center" vertical="center"/>
    </xf>
    <xf numFmtId="177" fontId="46" fillId="0" borderId="193" xfId="29" applyNumberFormat="1" applyFont="1" applyFill="1" applyBorder="1" applyAlignment="1">
      <alignment horizontal="center" vertical="center"/>
    </xf>
    <xf numFmtId="9" fontId="46" fillId="0" borderId="148" xfId="29" applyFont="1" applyFill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9" fontId="46" fillId="0" borderId="0" xfId="29" applyFont="1" applyFill="1" applyBorder="1" applyAlignment="1">
      <alignment horizontal="center" vertical="center"/>
    </xf>
    <xf numFmtId="177" fontId="46" fillId="0" borderId="0" xfId="29" applyNumberFormat="1" applyFont="1" applyFill="1" applyBorder="1" applyAlignment="1">
      <alignment horizontal="center" vertical="center"/>
    </xf>
    <xf numFmtId="177" fontId="46" fillId="0" borderId="0" xfId="0" applyNumberFormat="1" applyFont="1" applyBorder="1" applyAlignment="1">
      <alignment horizontal="center" vertical="center"/>
    </xf>
    <xf numFmtId="0" fontId="42" fillId="0" borderId="0" xfId="0" applyFont="1" applyBorder="1">
      <alignment vertical="center"/>
    </xf>
    <xf numFmtId="9" fontId="42" fillId="0" borderId="0" xfId="29" applyFont="1" applyBorder="1">
      <alignment vertical="center"/>
    </xf>
    <xf numFmtId="0" fontId="46" fillId="24" borderId="0" xfId="0" applyFont="1" applyFill="1" applyBorder="1">
      <alignment vertical="center"/>
    </xf>
    <xf numFmtId="9" fontId="46" fillId="24" borderId="0" xfId="29" applyFont="1" applyFill="1" applyBorder="1">
      <alignment vertical="center"/>
    </xf>
    <xf numFmtId="9" fontId="42" fillId="0" borderId="0" xfId="29" applyFont="1">
      <alignment vertical="center"/>
    </xf>
    <xf numFmtId="195" fontId="32" fillId="0" borderId="25" xfId="33" applyNumberFormat="1" applyFont="1" applyBorder="1" applyAlignment="1">
      <alignment horizontal="right" vertical="center" wrapText="1"/>
    </xf>
    <xf numFmtId="0" fontId="55" fillId="0" borderId="0" xfId="33" applyNumberFormat="1" applyFont="1" applyFill="1" applyBorder="1" applyAlignment="1">
      <alignment vertical="center" wrapText="1"/>
    </xf>
    <xf numFmtId="0" fontId="28" fillId="0" borderId="0" xfId="33" applyNumberFormat="1" applyFont="1" applyFill="1" applyBorder="1" applyAlignment="1">
      <alignment vertical="center" wrapText="1"/>
    </xf>
    <xf numFmtId="41" fontId="29" fillId="0" borderId="0" xfId="33" applyFont="1" applyFill="1" applyBorder="1" applyAlignment="1">
      <alignment wrapText="1"/>
    </xf>
    <xf numFmtId="0" fontId="29" fillId="0" borderId="0" xfId="33" applyNumberFormat="1" applyFont="1" applyFill="1" applyBorder="1" applyAlignment="1">
      <alignment wrapText="1"/>
    </xf>
    <xf numFmtId="0" fontId="29" fillId="0" borderId="0" xfId="48" applyFont="1" applyBorder="1" applyAlignment="1">
      <alignment horizontal="left" vertical="top" wrapText="1"/>
    </xf>
    <xf numFmtId="0" fontId="55" fillId="0" borderId="0" xfId="33" applyNumberFormat="1" applyFont="1" applyFill="1" applyBorder="1" applyAlignment="1">
      <alignment horizontal="center" vertical="center" wrapText="1"/>
    </xf>
    <xf numFmtId="0" fontId="28" fillId="0" borderId="0" xfId="48" applyFont="1" applyBorder="1" applyAlignment="1">
      <alignment horizontal="center" vertical="center" wrapText="1"/>
    </xf>
    <xf numFmtId="0" fontId="32" fillId="0" borderId="0" xfId="48" applyFont="1" applyBorder="1" applyAlignment="1">
      <alignment horizontal="center" vertical="center" wrapText="1"/>
    </xf>
    <xf numFmtId="0" fontId="32" fillId="24" borderId="31" xfId="48" applyFont="1" applyFill="1" applyBorder="1" applyAlignment="1">
      <alignment vertical="center" wrapText="1"/>
    </xf>
    <xf numFmtId="41" fontId="32" fillId="24" borderId="31" xfId="33" applyFont="1" applyFill="1" applyBorder="1" applyAlignment="1">
      <alignment vertical="center" wrapText="1"/>
    </xf>
    <xf numFmtId="197" fontId="32" fillId="24" borderId="31" xfId="33" applyNumberFormat="1" applyFont="1" applyFill="1" applyBorder="1" applyAlignment="1">
      <alignment horizontal="center" vertical="center" wrapText="1"/>
    </xf>
    <xf numFmtId="0" fontId="32" fillId="24" borderId="25" xfId="48" applyFont="1" applyFill="1" applyBorder="1" applyAlignment="1">
      <alignment horizontal="center" vertical="center" wrapText="1"/>
    </xf>
    <xf numFmtId="203" fontId="32" fillId="0" borderId="25" xfId="48" applyNumberFormat="1" applyFont="1" applyBorder="1" applyAlignment="1">
      <alignment vertical="center" wrapText="1"/>
    </xf>
    <xf numFmtId="0" fontId="32" fillId="0" borderId="63" xfId="48" applyFont="1" applyBorder="1" applyAlignment="1">
      <alignment horizontal="center" vertical="center" wrapText="1"/>
    </xf>
    <xf numFmtId="0" fontId="29" fillId="0" borderId="0" xfId="48" applyFont="1" applyBorder="1" applyAlignment="1">
      <alignment horizontal="center" vertical="top" wrapText="1"/>
    </xf>
    <xf numFmtId="176" fontId="32" fillId="0" borderId="0" xfId="48" applyNumberFormat="1" applyFont="1" applyBorder="1" applyAlignment="1">
      <alignment horizontal="center" vertical="center" wrapText="1"/>
    </xf>
    <xf numFmtId="41" fontId="32" fillId="24" borderId="25" xfId="33" applyFont="1" applyFill="1" applyBorder="1" applyAlignment="1">
      <alignment vertical="center" wrapText="1"/>
    </xf>
    <xf numFmtId="197" fontId="32" fillId="24" borderId="25" xfId="33" applyNumberFormat="1" applyFont="1" applyFill="1" applyBorder="1" applyAlignment="1">
      <alignment horizontal="center" vertical="center" wrapText="1"/>
    </xf>
    <xf numFmtId="0" fontId="32" fillId="0" borderId="0" xfId="48" applyFont="1" applyBorder="1" applyAlignment="1">
      <alignment horizontal="center" vertical="top" wrapText="1"/>
    </xf>
    <xf numFmtId="0" fontId="29" fillId="0" borderId="0" xfId="48" applyFont="1" applyBorder="1" applyAlignment="1">
      <alignment horizontal="center" vertical="center" wrapText="1"/>
    </xf>
    <xf numFmtId="0" fontId="32" fillId="24" borderId="124" xfId="48" applyFont="1" applyFill="1" applyBorder="1" applyAlignment="1">
      <alignment horizontal="center" vertical="center" wrapText="1"/>
    </xf>
    <xf numFmtId="0" fontId="32" fillId="24" borderId="103" xfId="48" applyFont="1" applyFill="1" applyBorder="1" applyAlignment="1">
      <alignment vertical="center" wrapText="1"/>
    </xf>
    <xf numFmtId="41" fontId="32" fillId="24" borderId="103" xfId="33" applyFont="1" applyFill="1" applyBorder="1" applyAlignment="1">
      <alignment vertical="center" wrapText="1"/>
    </xf>
    <xf numFmtId="197" fontId="32" fillId="24" borderId="103" xfId="33" applyNumberFormat="1" applyFont="1" applyFill="1" applyBorder="1" applyAlignment="1">
      <alignment horizontal="center" vertical="center" wrapText="1"/>
    </xf>
    <xf numFmtId="0" fontId="32" fillId="24" borderId="103" xfId="48" applyFont="1" applyFill="1" applyBorder="1" applyAlignment="1">
      <alignment horizontal="center" vertical="center" wrapText="1"/>
    </xf>
    <xf numFmtId="203" fontId="32" fillId="0" borderId="103" xfId="48" applyNumberFormat="1" applyFont="1" applyBorder="1" applyAlignment="1">
      <alignment vertical="center" wrapText="1"/>
    </xf>
    <xf numFmtId="195" fontId="32" fillId="0" borderId="103" xfId="33" applyNumberFormat="1" applyFont="1" applyBorder="1" applyAlignment="1">
      <alignment horizontal="right" vertical="center" wrapText="1"/>
    </xf>
    <xf numFmtId="0" fontId="32" fillId="0" borderId="67" xfId="48" applyFont="1" applyBorder="1" applyAlignment="1">
      <alignment horizontal="center" vertical="center" wrapText="1"/>
    </xf>
    <xf numFmtId="196" fontId="31" fillId="27" borderId="104" xfId="33" applyNumberFormat="1" applyFont="1" applyFill="1" applyBorder="1" applyAlignment="1">
      <alignment horizontal="right" vertical="center" wrapText="1"/>
    </xf>
    <xf numFmtId="195" fontId="31" fillId="27" borderId="139" xfId="33" applyNumberFormat="1" applyFont="1" applyFill="1" applyBorder="1" applyAlignment="1">
      <alignment horizontal="right" vertical="center" wrapText="1"/>
    </xf>
    <xf numFmtId="0" fontId="32" fillId="0" borderId="145" xfId="48" applyFont="1" applyBorder="1" applyAlignment="1">
      <alignment horizontal="center" vertical="top" wrapText="1"/>
    </xf>
    <xf numFmtId="195" fontId="32" fillId="28" borderId="46" xfId="48" applyNumberFormat="1" applyFont="1" applyFill="1" applyBorder="1" applyAlignment="1">
      <alignment horizontal="center" vertical="center" wrapText="1"/>
    </xf>
    <xf numFmtId="9" fontId="31" fillId="27" borderId="46" xfId="29" applyFont="1" applyFill="1" applyBorder="1" applyAlignment="1">
      <alignment horizontal="right" vertical="center" wrapText="1"/>
    </xf>
    <xf numFmtId="0" fontId="32" fillId="0" borderId="67" xfId="48" applyFont="1" applyBorder="1" applyAlignment="1">
      <alignment horizontal="center" vertical="top" wrapText="1"/>
    </xf>
    <xf numFmtId="195" fontId="32" fillId="0" borderId="0" xfId="48" applyNumberFormat="1" applyFont="1" applyFill="1" applyBorder="1" applyAlignment="1">
      <alignment horizontal="center" vertical="center" wrapText="1"/>
    </xf>
    <xf numFmtId="9" fontId="31" fillId="0" borderId="0" xfId="29" applyFont="1" applyFill="1" applyBorder="1" applyAlignment="1">
      <alignment horizontal="right" vertical="center" wrapText="1"/>
    </xf>
    <xf numFmtId="195" fontId="32" fillId="28" borderId="0" xfId="48" applyNumberFormat="1" applyFont="1" applyFill="1" applyBorder="1" applyAlignment="1">
      <alignment horizontal="center" vertical="center" wrapText="1"/>
    </xf>
    <xf numFmtId="9" fontId="31" fillId="27" borderId="0" xfId="29" applyFont="1" applyFill="1" applyBorder="1" applyAlignment="1">
      <alignment horizontal="right" vertical="center" wrapText="1"/>
    </xf>
    <xf numFmtId="0" fontId="61" fillId="0" borderId="0" xfId="48" applyFont="1" applyFill="1" applyBorder="1" applyAlignment="1">
      <alignment horizontal="center" vertical="center"/>
    </xf>
    <xf numFmtId="0" fontId="61" fillId="0" borderId="0" xfId="48" applyFont="1" applyFill="1" applyBorder="1" applyAlignment="1">
      <alignment vertical="center"/>
    </xf>
    <xf numFmtId="41" fontId="61" fillId="0" borderId="0" xfId="33" applyFont="1" applyFill="1" applyBorder="1" applyAlignment="1">
      <alignment horizontal="center" vertical="center"/>
    </xf>
    <xf numFmtId="41" fontId="60" fillId="0" borderId="0" xfId="33" applyFont="1" applyFill="1" applyBorder="1" applyAlignment="1">
      <alignment horizontal="center" vertical="center"/>
    </xf>
    <xf numFmtId="195" fontId="65" fillId="0" borderId="0" xfId="33" applyNumberFormat="1" applyFont="1" applyFill="1" applyBorder="1" applyAlignment="1">
      <alignment vertical="center"/>
    </xf>
    <xf numFmtId="195" fontId="65" fillId="0" borderId="0" xfId="33" applyNumberFormat="1" applyFont="1" applyFill="1" applyBorder="1" applyAlignment="1">
      <alignment horizontal="center" vertical="center"/>
    </xf>
    <xf numFmtId="41" fontId="29" fillId="0" borderId="0" xfId="33" applyFont="1" applyFill="1" applyBorder="1" applyAlignment="1">
      <alignment horizontal="center" vertical="center"/>
    </xf>
    <xf numFmtId="41" fontId="29" fillId="0" borderId="0" xfId="33" applyFont="1" applyFill="1" applyBorder="1" applyAlignment="1">
      <alignment horizontal="right" vertical="center"/>
    </xf>
    <xf numFmtId="41" fontId="53" fillId="0" borderId="0" xfId="33" applyFont="1" applyBorder="1" applyAlignment="1">
      <alignment horizontal="center" vertical="center"/>
    </xf>
    <xf numFmtId="191" fontId="56" fillId="0" borderId="0" xfId="0" applyNumberFormat="1" applyFont="1" applyAlignment="1">
      <alignment horizontal="center" vertical="center"/>
    </xf>
    <xf numFmtId="0" fontId="55" fillId="0" borderId="0" xfId="0" applyFont="1" applyAlignment="1">
      <alignment horizontal="left" vertical="center"/>
    </xf>
    <xf numFmtId="0" fontId="66" fillId="0" borderId="224" xfId="0" applyFont="1" applyFill="1" applyBorder="1" applyAlignment="1">
      <alignment vertical="center"/>
    </xf>
    <xf numFmtId="0" fontId="66" fillId="0" borderId="0" xfId="0" applyFont="1" applyFill="1" applyBorder="1" applyAlignment="1">
      <alignment vertical="center"/>
    </xf>
    <xf numFmtId="0" fontId="46" fillId="0" borderId="0" xfId="0" applyFont="1" applyFill="1" applyBorder="1" applyAlignment="1">
      <alignment vertical="center"/>
    </xf>
    <xf numFmtId="179" fontId="46" fillId="0" borderId="224" xfId="0" applyNumberFormat="1" applyFont="1" applyFill="1" applyBorder="1">
      <alignment vertical="center"/>
    </xf>
    <xf numFmtId="179" fontId="46" fillId="0" borderId="0" xfId="0" applyNumberFormat="1" applyFont="1" applyFill="1" applyBorder="1" applyAlignment="1">
      <alignment vertical="center"/>
    </xf>
    <xf numFmtId="177" fontId="46" fillId="0" borderId="0" xfId="0" applyNumberFormat="1" applyFont="1" applyFill="1" applyBorder="1" applyAlignment="1">
      <alignment vertical="center"/>
    </xf>
    <xf numFmtId="191" fontId="42" fillId="0" borderId="0" xfId="0" applyNumberFormat="1" applyFont="1" applyAlignment="1">
      <alignment horizontal="center" vertical="center"/>
    </xf>
    <xf numFmtId="179" fontId="46" fillId="0" borderId="0" xfId="0" applyNumberFormat="1" applyFont="1" applyFill="1" applyBorder="1" applyAlignment="1">
      <alignment horizontal="center" vertical="center"/>
    </xf>
    <xf numFmtId="177" fontId="46" fillId="0" borderId="0" xfId="0" applyNumberFormat="1" applyFont="1" applyFill="1" applyBorder="1" applyAlignment="1">
      <alignment horizontal="center" vertical="center"/>
    </xf>
    <xf numFmtId="0" fontId="43" fillId="26" borderId="112" xfId="0" applyFont="1" applyFill="1" applyBorder="1" applyAlignment="1">
      <alignment horizontal="center" vertical="center" wrapText="1"/>
    </xf>
    <xf numFmtId="0" fontId="43" fillId="26" borderId="113" xfId="0" applyFont="1" applyFill="1" applyBorder="1" applyAlignment="1">
      <alignment horizontal="center" vertical="center" wrapText="1"/>
    </xf>
    <xf numFmtId="0" fontId="43" fillId="26" borderId="114" xfId="0" applyFont="1" applyFill="1" applyBorder="1" applyAlignment="1">
      <alignment horizontal="center" vertical="center" wrapText="1"/>
    </xf>
    <xf numFmtId="0" fontId="43" fillId="26" borderId="115" xfId="0" applyFont="1" applyFill="1" applyBorder="1" applyAlignment="1">
      <alignment horizontal="center" vertical="center" wrapText="1"/>
    </xf>
    <xf numFmtId="0" fontId="43" fillId="26" borderId="24" xfId="0" applyFont="1" applyFill="1" applyBorder="1" applyAlignment="1">
      <alignment horizontal="center" vertical="center" wrapText="1"/>
    </xf>
    <xf numFmtId="0" fontId="43" fillId="26" borderId="116" xfId="0" applyFont="1" applyFill="1" applyBorder="1" applyAlignment="1">
      <alignment horizontal="center" vertical="center" wrapText="1"/>
    </xf>
    <xf numFmtId="0" fontId="43" fillId="26" borderId="117" xfId="0" applyFont="1" applyFill="1" applyBorder="1" applyAlignment="1">
      <alignment horizontal="center" vertical="center" wrapText="1"/>
    </xf>
    <xf numFmtId="0" fontId="43" fillId="26" borderId="118" xfId="0" applyFont="1" applyFill="1" applyBorder="1" applyAlignment="1">
      <alignment horizontal="center" vertical="center" wrapText="1"/>
    </xf>
    <xf numFmtId="0" fontId="43" fillId="26" borderId="119" xfId="0" applyFont="1" applyFill="1" applyBorder="1" applyAlignment="1">
      <alignment horizontal="center" vertical="center" wrapText="1"/>
    </xf>
    <xf numFmtId="0" fontId="43" fillId="26" borderId="31" xfId="0" applyFont="1" applyFill="1" applyBorder="1" applyAlignment="1">
      <alignment horizontal="center" vertical="center" wrapText="1"/>
    </xf>
    <xf numFmtId="9" fontId="57" fillId="0" borderId="70" xfId="0" applyNumberFormat="1" applyFont="1" applyBorder="1" applyAlignment="1">
      <alignment horizontal="center" vertical="center"/>
    </xf>
    <xf numFmtId="9" fontId="46" fillId="0" borderId="70" xfId="0" applyNumberFormat="1" applyFont="1" applyBorder="1" applyAlignment="1">
      <alignment horizontal="center" vertical="center"/>
    </xf>
    <xf numFmtId="10" fontId="46" fillId="24" borderId="75" xfId="29" applyNumberFormat="1" applyFont="1" applyFill="1" applyBorder="1" applyAlignment="1">
      <alignment horizontal="center" vertical="center"/>
    </xf>
    <xf numFmtId="10" fontId="46" fillId="24" borderId="76" xfId="29" applyNumberFormat="1" applyFont="1" applyFill="1" applyBorder="1" applyAlignment="1">
      <alignment horizontal="center" vertical="center"/>
    </xf>
    <xf numFmtId="10" fontId="46" fillId="24" borderId="77" xfId="29" applyNumberFormat="1" applyFont="1" applyFill="1" applyBorder="1" applyAlignment="1">
      <alignment horizontal="center" vertical="center"/>
    </xf>
    <xf numFmtId="176" fontId="42" fillId="0" borderId="152" xfId="0" applyNumberFormat="1" applyFont="1" applyBorder="1">
      <alignment vertical="center"/>
    </xf>
    <xf numFmtId="176" fontId="42" fillId="0" borderId="76" xfId="0" applyNumberFormat="1" applyFont="1" applyBorder="1">
      <alignment vertical="center"/>
    </xf>
    <xf numFmtId="176" fontId="42" fillId="0" borderId="73" xfId="0" applyNumberFormat="1" applyFont="1" applyBorder="1">
      <alignment vertical="center"/>
    </xf>
    <xf numFmtId="191" fontId="46" fillId="0" borderId="70" xfId="29" applyNumberFormat="1" applyFont="1" applyFill="1" applyBorder="1" applyAlignment="1">
      <alignment horizontal="center" vertical="center"/>
    </xf>
    <xf numFmtId="0" fontId="57" fillId="0" borderId="71" xfId="0" applyFont="1" applyBorder="1" applyAlignment="1">
      <alignment horizontal="center" vertical="center"/>
    </xf>
    <xf numFmtId="9" fontId="46" fillId="0" borderId="71" xfId="0" applyNumberFormat="1" applyFont="1" applyBorder="1" applyAlignment="1">
      <alignment horizontal="center" vertical="center"/>
    </xf>
    <xf numFmtId="10" fontId="46" fillId="24" borderId="78" xfId="29" applyNumberFormat="1" applyFont="1" applyFill="1" applyBorder="1" applyAlignment="1">
      <alignment horizontal="center" vertical="center"/>
    </xf>
    <xf numFmtId="10" fontId="46" fillId="24" borderId="11" xfId="29" applyNumberFormat="1" applyFont="1" applyFill="1" applyBorder="1" applyAlignment="1">
      <alignment horizontal="center" vertical="center"/>
    </xf>
    <xf numFmtId="10" fontId="46" fillId="24" borderId="79" xfId="29" applyNumberFormat="1" applyFont="1" applyFill="1" applyBorder="1" applyAlignment="1">
      <alignment horizontal="center" vertical="center"/>
    </xf>
    <xf numFmtId="176" fontId="42" fillId="0" borderId="153" xfId="0" applyNumberFormat="1" applyFont="1" applyBorder="1">
      <alignment vertical="center"/>
    </xf>
    <xf numFmtId="176" fontId="42" fillId="0" borderId="11" xfId="0" applyNumberFormat="1" applyFont="1" applyBorder="1">
      <alignment vertical="center"/>
    </xf>
    <xf numFmtId="176" fontId="42" fillId="0" borderId="74" xfId="0" applyNumberFormat="1" applyFont="1" applyBorder="1">
      <alignment vertical="center"/>
    </xf>
    <xf numFmtId="191" fontId="46" fillId="0" borderId="71" xfId="29" applyNumberFormat="1" applyFont="1" applyFill="1" applyBorder="1" applyAlignment="1">
      <alignment horizontal="center" vertical="center"/>
    </xf>
    <xf numFmtId="0" fontId="57" fillId="0" borderId="72" xfId="0" applyFont="1" applyBorder="1" applyAlignment="1">
      <alignment horizontal="center" vertical="center"/>
    </xf>
    <xf numFmtId="9" fontId="46" fillId="0" borderId="72" xfId="0" applyNumberFormat="1" applyFont="1" applyBorder="1" applyAlignment="1">
      <alignment horizontal="center" vertical="center"/>
    </xf>
    <xf numFmtId="10" fontId="46" fillId="24" borderId="80" xfId="29" applyNumberFormat="1" applyFont="1" applyFill="1" applyBorder="1" applyAlignment="1">
      <alignment horizontal="center" vertical="center"/>
    </xf>
    <xf numFmtId="10" fontId="46" fillId="24" borderId="81" xfId="29" applyNumberFormat="1" applyFont="1" applyFill="1" applyBorder="1" applyAlignment="1">
      <alignment horizontal="center" vertical="center"/>
    </xf>
    <xf numFmtId="10" fontId="46" fillId="24" borderId="82" xfId="29" applyNumberFormat="1" applyFont="1" applyFill="1" applyBorder="1" applyAlignment="1">
      <alignment horizontal="center" vertical="center"/>
    </xf>
    <xf numFmtId="176" fontId="42" fillId="0" borderId="188" xfId="0" applyNumberFormat="1" applyFont="1" applyBorder="1">
      <alignment vertical="center"/>
    </xf>
    <xf numFmtId="176" fontId="42" fillId="0" borderId="81" xfId="0" applyNumberFormat="1" applyFont="1" applyBorder="1">
      <alignment vertical="center"/>
    </xf>
    <xf numFmtId="176" fontId="42" fillId="0" borderId="149" xfId="0" applyNumberFormat="1" applyFont="1" applyBorder="1">
      <alignment vertical="center"/>
    </xf>
    <xf numFmtId="191" fontId="46" fillId="0" borderId="72" xfId="29" applyNumberFormat="1" applyFont="1" applyFill="1" applyBorder="1" applyAlignment="1">
      <alignment horizontal="center" vertical="center"/>
    </xf>
    <xf numFmtId="9" fontId="46" fillId="0" borderId="72" xfId="29" applyFont="1" applyFill="1" applyBorder="1" applyAlignment="1">
      <alignment horizontal="center" vertical="center"/>
    </xf>
    <xf numFmtId="49" fontId="61" fillId="0" borderId="0" xfId="48" applyNumberFormat="1" applyFont="1" applyBorder="1" applyAlignment="1">
      <alignment vertical="center"/>
    </xf>
    <xf numFmtId="41" fontId="53" fillId="0" borderId="0" xfId="33" applyFont="1" applyFill="1" applyBorder="1" applyAlignment="1">
      <alignment horizontal="center" vertical="center"/>
    </xf>
    <xf numFmtId="0" fontId="42" fillId="0" borderId="0" xfId="48" applyFont="1" applyBorder="1" applyAlignment="1">
      <alignment vertical="center"/>
    </xf>
    <xf numFmtId="41" fontId="53" fillId="0" borderId="0" xfId="33" applyFont="1" applyFill="1" applyBorder="1" applyAlignment="1">
      <alignment horizontal="right" vertical="center"/>
    </xf>
    <xf numFmtId="10" fontId="46" fillId="24" borderId="16" xfId="29" applyNumberFormat="1" applyFont="1" applyFill="1" applyBorder="1" applyAlignment="1">
      <alignment horizontal="center" vertical="center"/>
    </xf>
    <xf numFmtId="10" fontId="46" fillId="24" borderId="17" xfId="29" applyNumberFormat="1" applyFont="1" applyFill="1" applyBorder="1" applyAlignment="1">
      <alignment horizontal="center" vertical="center"/>
    </xf>
    <xf numFmtId="10" fontId="46" fillId="24" borderId="18" xfId="29" applyNumberFormat="1" applyFont="1" applyFill="1" applyBorder="1" applyAlignment="1">
      <alignment horizontal="center" vertical="center"/>
    </xf>
    <xf numFmtId="10" fontId="32" fillId="24" borderId="267" xfId="29" applyNumberFormat="1" applyFont="1" applyFill="1" applyBorder="1" applyAlignment="1">
      <alignment horizontal="center" vertical="center"/>
    </xf>
    <xf numFmtId="10" fontId="46" fillId="24" borderId="19" xfId="29" applyNumberFormat="1" applyFont="1" applyFill="1" applyBorder="1" applyAlignment="1">
      <alignment horizontal="center" vertical="center"/>
    </xf>
    <xf numFmtId="10" fontId="46" fillId="24" borderId="15" xfId="29" applyNumberFormat="1" applyFont="1" applyFill="1" applyBorder="1" applyAlignment="1">
      <alignment horizontal="center" vertical="center"/>
    </xf>
    <xf numFmtId="10" fontId="46" fillId="24" borderId="20" xfId="29" applyNumberFormat="1" applyFont="1" applyFill="1" applyBorder="1" applyAlignment="1">
      <alignment horizontal="center" vertical="center"/>
    </xf>
    <xf numFmtId="10" fontId="32" fillId="24" borderId="268" xfId="29" applyNumberFormat="1" applyFont="1" applyFill="1" applyBorder="1" applyAlignment="1">
      <alignment horizontal="center" vertical="center"/>
    </xf>
    <xf numFmtId="191" fontId="46" fillId="0" borderId="243" xfId="29" applyNumberFormat="1" applyFont="1" applyFill="1" applyBorder="1" applyAlignment="1">
      <alignment horizontal="center" vertical="center"/>
    </xf>
    <xf numFmtId="191" fontId="46" fillId="0" borderId="244" xfId="29" applyNumberFormat="1" applyFont="1" applyFill="1" applyBorder="1" applyAlignment="1">
      <alignment horizontal="center" vertical="center"/>
    </xf>
    <xf numFmtId="191" fontId="46" fillId="0" borderId="245" xfId="29" applyNumberFormat="1" applyFont="1" applyFill="1" applyBorder="1" applyAlignment="1">
      <alignment horizontal="center" vertical="center"/>
    </xf>
    <xf numFmtId="10" fontId="32" fillId="24" borderId="269" xfId="29" applyNumberFormat="1" applyFont="1" applyFill="1" applyBorder="1" applyAlignment="1">
      <alignment horizontal="center" vertical="center"/>
    </xf>
    <xf numFmtId="191" fontId="46" fillId="0" borderId="254" xfId="29" applyNumberFormat="1" applyFont="1" applyFill="1" applyBorder="1" applyAlignment="1">
      <alignment horizontal="center" vertical="center"/>
    </xf>
    <xf numFmtId="191" fontId="46" fillId="0" borderId="233" xfId="29" applyNumberFormat="1" applyFont="1" applyFill="1" applyBorder="1" applyAlignment="1">
      <alignment horizontal="center" vertical="center"/>
    </xf>
    <xf numFmtId="191" fontId="46" fillId="0" borderId="253" xfId="29" applyNumberFormat="1" applyFont="1" applyFill="1" applyBorder="1" applyAlignment="1">
      <alignment horizontal="center" vertical="center"/>
    </xf>
    <xf numFmtId="191" fontId="46" fillId="0" borderId="249" xfId="29" applyNumberFormat="1" applyFont="1" applyFill="1" applyBorder="1" applyAlignment="1">
      <alignment horizontal="center" vertical="center"/>
    </xf>
    <xf numFmtId="191" fontId="46" fillId="0" borderId="250" xfId="29" applyNumberFormat="1" applyFont="1" applyFill="1" applyBorder="1" applyAlignment="1">
      <alignment horizontal="center" vertical="center"/>
    </xf>
    <xf numFmtId="191" fontId="46" fillId="0" borderId="270" xfId="29" applyNumberFormat="1" applyFont="1" applyFill="1" applyBorder="1" applyAlignment="1">
      <alignment horizontal="center" vertical="center"/>
    </xf>
    <xf numFmtId="191" fontId="46" fillId="0" borderId="271" xfId="29" applyNumberFormat="1" applyFont="1" applyFill="1" applyBorder="1" applyAlignment="1">
      <alignment horizontal="center" vertical="center"/>
    </xf>
    <xf numFmtId="191" fontId="46" fillId="0" borderId="259" xfId="29" applyNumberFormat="1" applyFont="1" applyFill="1" applyBorder="1" applyAlignment="1">
      <alignment horizontal="center" vertical="center"/>
    </xf>
    <xf numFmtId="191" fontId="46" fillId="0" borderId="234" xfId="29" applyNumberFormat="1" applyFont="1" applyFill="1" applyBorder="1" applyAlignment="1">
      <alignment horizontal="center" vertical="center"/>
    </xf>
    <xf numFmtId="191" fontId="46" fillId="0" borderId="258" xfId="29" applyNumberFormat="1" applyFont="1" applyFill="1" applyBorder="1" applyAlignment="1">
      <alignment horizontal="center" vertical="center"/>
    </xf>
    <xf numFmtId="191" fontId="46" fillId="0" borderId="247" xfId="29" applyNumberFormat="1" applyFont="1" applyFill="1" applyBorder="1" applyAlignment="1">
      <alignment horizontal="center" vertical="center"/>
    </xf>
    <xf numFmtId="191" fontId="46" fillId="0" borderId="148" xfId="29" applyNumberFormat="1" applyFont="1" applyFill="1" applyBorder="1" applyAlignment="1">
      <alignment horizontal="center" vertical="center"/>
    </xf>
    <xf numFmtId="191" fontId="46" fillId="0" borderId="248" xfId="29" applyNumberFormat="1" applyFont="1" applyFill="1" applyBorder="1" applyAlignment="1">
      <alignment horizontal="center" vertical="center"/>
    </xf>
    <xf numFmtId="10" fontId="46" fillId="24" borderId="21" xfId="29" applyNumberFormat="1" applyFont="1" applyFill="1" applyBorder="1" applyAlignment="1">
      <alignment horizontal="center" vertical="center"/>
    </xf>
    <xf numFmtId="10" fontId="46" fillId="24" borderId="22" xfId="29" applyNumberFormat="1" applyFont="1" applyFill="1" applyBorder="1" applyAlignment="1">
      <alignment horizontal="center" vertical="center"/>
    </xf>
    <xf numFmtId="10" fontId="46" fillId="24" borderId="23" xfId="29" applyNumberFormat="1" applyFont="1" applyFill="1" applyBorder="1" applyAlignment="1">
      <alignment horizontal="center" vertical="center"/>
    </xf>
    <xf numFmtId="0" fontId="43" fillId="0" borderId="68" xfId="0" applyFont="1" applyBorder="1" applyAlignment="1">
      <alignment horizontal="center" vertical="center"/>
    </xf>
    <xf numFmtId="0" fontId="43" fillId="0" borderId="125" xfId="0" applyFont="1" applyBorder="1" applyAlignment="1">
      <alignment horizontal="center" vertical="center"/>
    </xf>
    <xf numFmtId="0" fontId="43" fillId="0" borderId="189" xfId="0" applyFont="1" applyBorder="1" applyAlignment="1">
      <alignment horizontal="center" vertical="center"/>
    </xf>
    <xf numFmtId="0" fontId="63" fillId="0" borderId="249" xfId="0" applyFont="1" applyBorder="1" applyAlignment="1">
      <alignment horizontal="center" vertical="center" wrapText="1"/>
    </xf>
    <xf numFmtId="214" fontId="64" fillId="24" borderId="75" xfId="0" applyNumberFormat="1" applyFont="1" applyFill="1" applyBorder="1" applyAlignment="1">
      <alignment horizontal="center" vertical="center" wrapText="1"/>
    </xf>
    <xf numFmtId="213" fontId="64" fillId="24" borderId="73" xfId="0" applyNumberFormat="1" applyFont="1" applyFill="1" applyBorder="1" applyAlignment="1">
      <alignment horizontal="center" vertical="center" wrapText="1"/>
    </xf>
    <xf numFmtId="177" fontId="64" fillId="27" borderId="70" xfId="0" applyNumberFormat="1" applyFont="1" applyFill="1" applyBorder="1" applyAlignment="1">
      <alignment horizontal="right" vertical="center" wrapText="1" indent="1"/>
    </xf>
    <xf numFmtId="177" fontId="64" fillId="27" borderId="190" xfId="0" applyNumberFormat="1" applyFont="1" applyFill="1" applyBorder="1" applyAlignment="1">
      <alignment horizontal="right" vertical="center" wrapText="1" indent="1"/>
    </xf>
    <xf numFmtId="0" fontId="63" fillId="0" borderId="246" xfId="0" applyFont="1" applyBorder="1" applyAlignment="1">
      <alignment horizontal="center" vertical="center" wrapText="1"/>
    </xf>
    <xf numFmtId="214" fontId="64" fillId="24" borderId="78" xfId="0" applyNumberFormat="1" applyFont="1" applyFill="1" applyBorder="1" applyAlignment="1">
      <alignment horizontal="center" vertical="center" wrapText="1"/>
    </xf>
    <xf numFmtId="213" fontId="64" fillId="24" borderId="74" xfId="0" applyNumberFormat="1" applyFont="1" applyFill="1" applyBorder="1" applyAlignment="1">
      <alignment horizontal="center" vertical="center" wrapText="1"/>
    </xf>
    <xf numFmtId="177" fontId="64" fillId="27" borderId="71" xfId="0" applyNumberFormat="1" applyFont="1" applyFill="1" applyBorder="1" applyAlignment="1">
      <alignment horizontal="right" vertical="center" wrapText="1" indent="1"/>
    </xf>
    <xf numFmtId="177" fontId="64" fillId="27" borderId="191" xfId="0" applyNumberFormat="1" applyFont="1" applyFill="1" applyBorder="1" applyAlignment="1">
      <alignment horizontal="right" vertical="center" wrapText="1" indent="1"/>
    </xf>
    <xf numFmtId="0" fontId="63" fillId="0" borderId="254" xfId="0" applyFont="1" applyBorder="1" applyAlignment="1">
      <alignment horizontal="center" vertical="center" wrapText="1"/>
    </xf>
    <xf numFmtId="214" fontId="64" fillId="24" borderId="80" xfId="0" applyNumberFormat="1" applyFont="1" applyFill="1" applyBorder="1" applyAlignment="1">
      <alignment horizontal="center" vertical="center" wrapText="1"/>
    </xf>
    <xf numFmtId="213" fontId="64" fillId="24" borderId="149" xfId="0" applyNumberFormat="1" applyFont="1" applyFill="1" applyBorder="1" applyAlignment="1">
      <alignment horizontal="center" vertical="center" wrapText="1"/>
    </xf>
    <xf numFmtId="177" fontId="64" fillId="27" borderId="233" xfId="0" applyNumberFormat="1" applyFont="1" applyFill="1" applyBorder="1" applyAlignment="1">
      <alignment horizontal="right" vertical="center" wrapText="1" indent="1"/>
    </xf>
    <xf numFmtId="177" fontId="64" fillId="27" borderId="240" xfId="0" applyNumberFormat="1" applyFont="1" applyFill="1" applyBorder="1" applyAlignment="1">
      <alignment horizontal="right" vertical="center" wrapText="1" indent="1"/>
    </xf>
    <xf numFmtId="0" fontId="62" fillId="0" borderId="124" xfId="0" applyFont="1" applyBorder="1" applyAlignment="1">
      <alignment horizontal="center" vertical="center" wrapText="1"/>
    </xf>
    <xf numFmtId="9" fontId="57" fillId="0" borderId="103" xfId="29" applyFont="1" applyFill="1" applyBorder="1" applyAlignment="1">
      <alignment horizontal="center" vertical="center"/>
    </xf>
    <xf numFmtId="0" fontId="67" fillId="0" borderId="266" xfId="0" applyFont="1" applyFill="1" applyBorder="1" applyAlignment="1">
      <alignment horizontal="center" vertical="center" wrapText="1"/>
    </xf>
    <xf numFmtId="0" fontId="67" fillId="0" borderId="144" xfId="0" applyFont="1" applyFill="1" applyBorder="1" applyAlignment="1">
      <alignment horizontal="center" vertical="center" wrapText="1"/>
    </xf>
    <xf numFmtId="177" fontId="67" fillId="0" borderId="103" xfId="0" applyNumberFormat="1" applyFont="1" applyFill="1" applyBorder="1" applyAlignment="1">
      <alignment horizontal="right" vertical="center" wrapText="1" indent="1"/>
    </xf>
    <xf numFmtId="177" fontId="67" fillId="27" borderId="229" xfId="0" applyNumberFormat="1" applyFont="1" applyFill="1" applyBorder="1" applyAlignment="1">
      <alignment horizontal="right" vertical="center" wrapText="1" indent="1"/>
    </xf>
    <xf numFmtId="0" fontId="63" fillId="0" borderId="0" xfId="0" applyFont="1" applyBorder="1" applyAlignment="1">
      <alignment horizontal="center" vertical="center" wrapText="1"/>
    </xf>
    <xf numFmtId="0" fontId="6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177" fontId="64" fillId="0" borderId="0" xfId="0" applyNumberFormat="1" applyFont="1" applyFill="1" applyBorder="1" applyAlignment="1">
      <alignment horizontal="right" vertical="center" wrapText="1" indent="1"/>
    </xf>
    <xf numFmtId="0" fontId="43" fillId="0" borderId="126" xfId="0" applyFont="1" applyBorder="1" applyAlignment="1">
      <alignment horizontal="center" vertical="center"/>
    </xf>
    <xf numFmtId="0" fontId="43" fillId="0" borderId="182" xfId="0" applyFont="1" applyBorder="1" applyAlignment="1">
      <alignment horizontal="center" vertical="center"/>
    </xf>
    <xf numFmtId="0" fontId="63" fillId="0" borderId="127" xfId="0" applyFont="1" applyBorder="1" applyAlignment="1">
      <alignment horizontal="center" vertical="center" wrapText="1"/>
    </xf>
    <xf numFmtId="9" fontId="46" fillId="0" borderId="128" xfId="29" applyFont="1" applyFill="1" applyBorder="1" applyAlignment="1">
      <alignment horizontal="center" vertical="center"/>
    </xf>
    <xf numFmtId="0" fontId="63" fillId="0" borderId="129" xfId="0" applyFont="1" applyBorder="1" applyAlignment="1">
      <alignment horizontal="center" vertical="center" wrapText="1"/>
    </xf>
    <xf numFmtId="9" fontId="46" fillId="0" borderId="130" xfId="29" applyFont="1" applyFill="1" applyBorder="1" applyAlignment="1">
      <alignment horizontal="center" vertical="center"/>
    </xf>
    <xf numFmtId="0" fontId="63" fillId="0" borderId="256" xfId="0" applyFont="1" applyBorder="1" applyAlignment="1">
      <alignment horizontal="center" vertical="center" wrapText="1"/>
    </xf>
    <xf numFmtId="9" fontId="46" fillId="0" borderId="257" xfId="29" applyFont="1" applyFill="1" applyBorder="1" applyAlignment="1">
      <alignment horizontal="center" vertical="center"/>
    </xf>
    <xf numFmtId="0" fontId="43" fillId="0" borderId="122" xfId="0" applyFont="1" applyBorder="1" applyAlignment="1">
      <alignment horizontal="center" vertical="center"/>
    </xf>
    <xf numFmtId="0" fontId="43" fillId="0" borderId="104" xfId="0" applyFont="1" applyBorder="1" applyAlignment="1">
      <alignment horizontal="center" vertical="center"/>
    </xf>
    <xf numFmtId="0" fontId="63" fillId="0" borderId="231" xfId="0" applyFont="1" applyBorder="1" applyAlignment="1">
      <alignment horizontal="center" vertical="center" wrapText="1"/>
    </xf>
    <xf numFmtId="9" fontId="46" fillId="0" borderId="234" xfId="29" applyFont="1" applyFill="1" applyBorder="1" applyAlignment="1">
      <alignment horizontal="center" vertical="center"/>
    </xf>
    <xf numFmtId="0" fontId="63" fillId="0" borderId="61" xfId="0" applyFont="1" applyBorder="1" applyAlignment="1">
      <alignment horizontal="center" vertical="center" wrapText="1"/>
    </xf>
    <xf numFmtId="0" fontId="67" fillId="0" borderId="103" xfId="0" applyFont="1" applyFill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9" fontId="57" fillId="0" borderId="0" xfId="29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 wrapText="1"/>
    </xf>
    <xf numFmtId="177" fontId="67" fillId="0" borderId="0" xfId="0" applyNumberFormat="1" applyFont="1" applyFill="1" applyBorder="1" applyAlignment="1">
      <alignment horizontal="right" vertical="center" wrapText="1" indent="1"/>
    </xf>
    <xf numFmtId="9" fontId="57" fillId="0" borderId="104" xfId="29" applyFont="1" applyFill="1" applyBorder="1" applyAlignment="1">
      <alignment horizontal="center" vertical="center"/>
    </xf>
    <xf numFmtId="0" fontId="62" fillId="0" borderId="140" xfId="0" applyFont="1" applyFill="1" applyBorder="1" applyAlignment="1">
      <alignment horizontal="center" vertical="center" wrapText="1"/>
    </xf>
    <xf numFmtId="41" fontId="67" fillId="0" borderId="104" xfId="0" applyNumberFormat="1" applyFont="1" applyFill="1" applyBorder="1" applyAlignment="1">
      <alignment horizontal="center" vertical="center" wrapText="1"/>
    </xf>
    <xf numFmtId="0" fontId="67" fillId="0" borderId="123" xfId="0" applyFont="1" applyFill="1" applyBorder="1" applyAlignment="1">
      <alignment horizontal="center" vertical="center" wrapText="1"/>
    </xf>
    <xf numFmtId="0" fontId="63" fillId="24" borderId="234" xfId="0" applyFont="1" applyFill="1" applyBorder="1" applyAlignment="1">
      <alignment horizontal="center" vertical="center" wrapText="1"/>
    </xf>
    <xf numFmtId="0" fontId="63" fillId="24" borderId="225" xfId="0" applyFont="1" applyFill="1" applyBorder="1" applyAlignment="1">
      <alignment horizontal="center" vertical="center" wrapText="1"/>
    </xf>
    <xf numFmtId="41" fontId="64" fillId="24" borderId="234" xfId="0" applyNumberFormat="1" applyFont="1" applyFill="1" applyBorder="1" applyAlignment="1">
      <alignment horizontal="center" vertical="center" wrapText="1"/>
    </xf>
    <xf numFmtId="0" fontId="47" fillId="0" borderId="246" xfId="0" applyFont="1" applyFill="1" applyBorder="1" applyAlignment="1">
      <alignment horizontal="center" vertical="center"/>
    </xf>
    <xf numFmtId="0" fontId="63" fillId="0" borderId="71" xfId="0" applyFont="1" applyFill="1" applyBorder="1" applyAlignment="1">
      <alignment vertical="center" wrapText="1"/>
    </xf>
    <xf numFmtId="0" fontId="63" fillId="24" borderId="71" xfId="0" applyFont="1" applyFill="1" applyBorder="1" applyAlignment="1">
      <alignment horizontal="center" vertical="center" wrapText="1"/>
    </xf>
    <xf numFmtId="0" fontId="63" fillId="24" borderId="74" xfId="0" applyFont="1" applyFill="1" applyBorder="1" applyAlignment="1">
      <alignment horizontal="center" vertical="center" wrapText="1"/>
    </xf>
    <xf numFmtId="41" fontId="64" fillId="24" borderId="71" xfId="0" applyNumberFormat="1" applyFont="1" applyFill="1" applyBorder="1" applyAlignment="1">
      <alignment horizontal="center" vertical="center" wrapText="1"/>
    </xf>
    <xf numFmtId="0" fontId="63" fillId="24" borderId="71" xfId="0" applyFont="1" applyFill="1" applyBorder="1" applyAlignment="1">
      <alignment vertical="center" wrapText="1"/>
    </xf>
    <xf numFmtId="41" fontId="47" fillId="0" borderId="246" xfId="0" applyNumberFormat="1" applyFont="1" applyFill="1" applyBorder="1" applyAlignment="1">
      <alignment horizontal="center" vertical="center"/>
    </xf>
    <xf numFmtId="41" fontId="47" fillId="0" borderId="251" xfId="0" applyNumberFormat="1" applyFont="1" applyFill="1" applyBorder="1" applyAlignment="1">
      <alignment horizontal="center" vertical="center"/>
    </xf>
    <xf numFmtId="0" fontId="63" fillId="0" borderId="252" xfId="0" applyFont="1" applyFill="1" applyBorder="1" applyAlignment="1">
      <alignment vertical="center" wrapText="1"/>
    </xf>
    <xf numFmtId="0" fontId="63" fillId="24" borderId="252" xfId="0" applyFont="1" applyFill="1" applyBorder="1" applyAlignment="1">
      <alignment vertical="center" wrapText="1"/>
    </xf>
    <xf numFmtId="0" fontId="63" fillId="24" borderId="239" xfId="0" applyFont="1" applyFill="1" applyBorder="1" applyAlignment="1">
      <alignment horizontal="center" vertical="center" wrapText="1"/>
    </xf>
    <xf numFmtId="41" fontId="64" fillId="24" borderId="252" xfId="0" applyNumberFormat="1" applyFont="1" applyFill="1" applyBorder="1" applyAlignment="1">
      <alignment horizontal="center" vertical="center" wrapText="1"/>
    </xf>
    <xf numFmtId="0" fontId="62" fillId="0" borderId="132" xfId="0" applyFont="1" applyBorder="1" applyAlignment="1">
      <alignment horizontal="center" vertical="center" wrapText="1"/>
    </xf>
    <xf numFmtId="0" fontId="62" fillId="0" borderId="133" xfId="0" applyFont="1" applyBorder="1" applyAlignment="1">
      <alignment vertical="center" wrapText="1"/>
    </xf>
    <xf numFmtId="0" fontId="62" fillId="0" borderId="242" xfId="0" applyFont="1" applyBorder="1" applyAlignment="1">
      <alignment horizontal="center" vertical="center" wrapText="1"/>
    </xf>
    <xf numFmtId="213" fontId="67" fillId="31" borderId="133" xfId="0" applyNumberFormat="1" applyFont="1" applyFill="1" applyBorder="1" applyAlignment="1">
      <alignment horizontal="center" vertical="center" wrapText="1"/>
    </xf>
    <xf numFmtId="196" fontId="67" fillId="31" borderId="150" xfId="0" applyNumberFormat="1" applyFont="1" applyFill="1" applyBorder="1" applyAlignment="1">
      <alignment horizontal="center" vertical="center" wrapText="1"/>
    </xf>
    <xf numFmtId="10" fontId="56" fillId="0" borderId="0" xfId="29" applyNumberFormat="1" applyFont="1" applyAlignment="1">
      <alignment horizontal="center" vertical="center"/>
    </xf>
    <xf numFmtId="0" fontId="57" fillId="0" borderId="0" xfId="0" applyFont="1">
      <alignment vertical="center"/>
    </xf>
    <xf numFmtId="10" fontId="46" fillId="0" borderId="0" xfId="29" applyNumberFormat="1" applyFont="1" applyAlignment="1">
      <alignment horizontal="center" vertical="center"/>
    </xf>
    <xf numFmtId="0" fontId="57" fillId="26" borderId="110" xfId="0" applyFont="1" applyFill="1" applyBorder="1" applyAlignment="1">
      <alignment horizontal="center" vertical="center"/>
    </xf>
    <xf numFmtId="0" fontId="57" fillId="26" borderId="39" xfId="0" applyFont="1" applyFill="1" applyBorder="1" applyAlignment="1">
      <alignment horizontal="center" vertical="center"/>
    </xf>
    <xf numFmtId="0" fontId="46" fillId="0" borderId="92" xfId="0" applyFont="1" applyBorder="1" applyAlignment="1">
      <alignment horizontal="center" vertical="center" shrinkToFit="1"/>
    </xf>
    <xf numFmtId="189" fontId="46" fillId="0" borderId="85" xfId="33" applyNumberFormat="1" applyFont="1" applyFill="1" applyBorder="1">
      <alignment vertical="center"/>
    </xf>
    <xf numFmtId="200" fontId="46" fillId="0" borderId="85" xfId="33" applyNumberFormat="1" applyFont="1" applyFill="1" applyBorder="1">
      <alignment vertical="center"/>
    </xf>
    <xf numFmtId="189" fontId="46" fillId="0" borderId="86" xfId="33" applyNumberFormat="1" applyFont="1" applyFill="1" applyBorder="1">
      <alignment vertical="center"/>
    </xf>
    <xf numFmtId="177" fontId="46" fillId="0" borderId="86" xfId="0" applyNumberFormat="1" applyFont="1" applyFill="1" applyBorder="1" applyAlignment="1">
      <alignment vertical="center"/>
    </xf>
    <xf numFmtId="187" fontId="46" fillId="0" borderId="86" xfId="0" applyNumberFormat="1" applyFont="1" applyBorder="1" applyAlignment="1">
      <alignment vertical="center"/>
    </xf>
    <xf numFmtId="177" fontId="46" fillId="0" borderId="92" xfId="0" applyNumberFormat="1" applyFont="1" applyBorder="1" applyAlignment="1">
      <alignment horizontal="center" vertical="center"/>
    </xf>
    <xf numFmtId="9" fontId="46" fillId="0" borderId="92" xfId="29" applyFont="1" applyFill="1" applyBorder="1" applyAlignment="1">
      <alignment horizontal="center" vertical="center"/>
    </xf>
    <xf numFmtId="0" fontId="46" fillId="0" borderId="94" xfId="0" applyFont="1" applyBorder="1" applyAlignment="1">
      <alignment horizontal="center" vertical="center" shrinkToFit="1"/>
    </xf>
    <xf numFmtId="189" fontId="46" fillId="0" borderId="87" xfId="33" applyNumberFormat="1" applyFont="1" applyFill="1" applyBorder="1">
      <alignment vertical="center"/>
    </xf>
    <xf numFmtId="200" fontId="46" fillId="0" borderId="87" xfId="33" applyNumberFormat="1" applyFont="1" applyFill="1" applyBorder="1">
      <alignment vertical="center"/>
    </xf>
    <xf numFmtId="189" fontId="46" fillId="0" borderId="88" xfId="33" applyNumberFormat="1" applyFont="1" applyFill="1" applyBorder="1">
      <alignment vertical="center"/>
    </xf>
    <xf numFmtId="177" fontId="46" fillId="0" borderId="88" xfId="0" applyNumberFormat="1" applyFont="1" applyFill="1" applyBorder="1" applyAlignment="1">
      <alignment vertical="center"/>
    </xf>
    <xf numFmtId="187" fontId="46" fillId="0" borderId="88" xfId="0" applyNumberFormat="1" applyFont="1" applyBorder="1" applyAlignment="1">
      <alignment vertical="center"/>
    </xf>
    <xf numFmtId="177" fontId="46" fillId="0" borderId="94" xfId="0" applyNumberFormat="1" applyFont="1" applyBorder="1" applyAlignment="1">
      <alignment horizontal="center" vertical="center"/>
    </xf>
    <xf numFmtId="9" fontId="46" fillId="0" borderId="94" xfId="29" applyFont="1" applyFill="1" applyBorder="1" applyAlignment="1">
      <alignment horizontal="center" vertical="center"/>
    </xf>
    <xf numFmtId="0" fontId="46" fillId="0" borderId="96" xfId="0" applyFont="1" applyBorder="1" applyAlignment="1">
      <alignment horizontal="center" vertical="center" shrinkToFit="1"/>
    </xf>
    <xf numFmtId="189" fontId="46" fillId="0" borderId="89" xfId="33" applyNumberFormat="1" applyFont="1" applyFill="1" applyBorder="1">
      <alignment vertical="center"/>
    </xf>
    <xf numFmtId="200" fontId="46" fillId="0" borderId="89" xfId="33" applyNumberFormat="1" applyFont="1" applyFill="1" applyBorder="1">
      <alignment vertical="center"/>
    </xf>
    <xf numFmtId="189" fontId="46" fillId="0" borderId="90" xfId="33" applyNumberFormat="1" applyFont="1" applyFill="1" applyBorder="1">
      <alignment vertical="center"/>
    </xf>
    <xf numFmtId="177" fontId="46" fillId="0" borderId="90" xfId="0" applyNumberFormat="1" applyFont="1" applyFill="1" applyBorder="1" applyAlignment="1">
      <alignment vertical="center"/>
    </xf>
    <xf numFmtId="187" fontId="46" fillId="0" borderId="90" xfId="0" applyNumberFormat="1" applyFont="1" applyBorder="1" applyAlignment="1">
      <alignment vertical="center"/>
    </xf>
    <xf numFmtId="177" fontId="46" fillId="0" borderId="96" xfId="0" applyNumberFormat="1" applyFont="1" applyBorder="1" applyAlignment="1">
      <alignment horizontal="center" vertical="center"/>
    </xf>
    <xf numFmtId="9" fontId="46" fillId="0" borderId="96" xfId="29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 vertical="center" wrapText="1"/>
    </xf>
    <xf numFmtId="10" fontId="42" fillId="0" borderId="0" xfId="29" applyNumberFormat="1" applyFont="1" applyAlignment="1">
      <alignment horizontal="center" vertical="center"/>
    </xf>
    <xf numFmtId="0" fontId="57" fillId="26" borderId="38" xfId="0" applyFont="1" applyFill="1" applyBorder="1" applyAlignment="1">
      <alignment horizontal="center" vertical="center"/>
    </xf>
    <xf numFmtId="0" fontId="57" fillId="26" borderId="111" xfId="0" applyFont="1" applyFill="1" applyBorder="1" applyAlignment="1">
      <alignment horizontal="center" vertical="center"/>
    </xf>
    <xf numFmtId="0" fontId="46" fillId="0" borderId="25" xfId="0" applyFont="1" applyBorder="1" applyAlignment="1">
      <alignment horizontal="center" vertical="center"/>
    </xf>
    <xf numFmtId="41" fontId="46" fillId="24" borderId="65" xfId="33" applyNumberFormat="1" applyFont="1" applyFill="1" applyBorder="1">
      <alignment vertical="center"/>
    </xf>
    <xf numFmtId="10" fontId="46" fillId="0" borderId="25" xfId="0" applyNumberFormat="1" applyFont="1" applyFill="1" applyBorder="1" applyAlignment="1">
      <alignment vertical="center"/>
    </xf>
    <xf numFmtId="41" fontId="46" fillId="24" borderId="15" xfId="33" applyNumberFormat="1" applyFont="1" applyFill="1" applyBorder="1">
      <alignment vertical="center"/>
    </xf>
    <xf numFmtId="41" fontId="46" fillId="24" borderId="66" xfId="33" applyNumberFormat="1" applyFont="1" applyFill="1" applyBorder="1">
      <alignment vertical="center"/>
    </xf>
    <xf numFmtId="41" fontId="46" fillId="24" borderId="37" xfId="33" applyNumberFormat="1" applyFont="1" applyFill="1" applyBorder="1">
      <alignment vertical="center"/>
    </xf>
    <xf numFmtId="41" fontId="46" fillId="24" borderId="39" xfId="33" applyNumberFormat="1" applyFont="1" applyFill="1" applyBorder="1">
      <alignment vertical="center"/>
    </xf>
    <xf numFmtId="0" fontId="46" fillId="0" borderId="0" xfId="0" applyFont="1" applyBorder="1">
      <alignment vertical="center"/>
    </xf>
    <xf numFmtId="0" fontId="57" fillId="26" borderId="120" xfId="0" applyFont="1" applyFill="1" applyBorder="1" applyAlignment="1">
      <alignment horizontal="center" vertical="center"/>
    </xf>
    <xf numFmtId="0" fontId="57" fillId="26" borderId="110" xfId="0" applyFont="1" applyFill="1" applyBorder="1" applyAlignment="1">
      <alignment horizontal="center" vertical="center" wrapText="1"/>
    </xf>
    <xf numFmtId="180" fontId="46" fillId="0" borderId="91" xfId="33" applyNumberFormat="1" applyFont="1" applyFill="1" applyBorder="1">
      <alignment vertical="center"/>
    </xf>
    <xf numFmtId="192" fontId="46" fillId="0" borderId="85" xfId="33" applyNumberFormat="1" applyFont="1" applyFill="1" applyBorder="1">
      <alignment vertical="center"/>
    </xf>
    <xf numFmtId="180" fontId="46" fillId="0" borderId="93" xfId="33" applyNumberFormat="1" applyFont="1" applyFill="1" applyBorder="1">
      <alignment vertical="center"/>
    </xf>
    <xf numFmtId="192" fontId="46" fillId="0" borderId="87" xfId="33" applyNumberFormat="1" applyFont="1" applyFill="1" applyBorder="1">
      <alignment vertical="center"/>
    </xf>
    <xf numFmtId="180" fontId="46" fillId="0" borderId="95" xfId="33" applyNumberFormat="1" applyFont="1" applyFill="1" applyBorder="1">
      <alignment vertical="center"/>
    </xf>
    <xf numFmtId="192" fontId="46" fillId="0" borderId="89" xfId="33" applyNumberFormat="1" applyFont="1" applyFill="1" applyBorder="1">
      <alignment vertical="center"/>
    </xf>
    <xf numFmtId="0" fontId="42" fillId="0" borderId="0" xfId="0" applyFont="1" applyAlignment="1">
      <alignment vertical="center" wrapText="1"/>
    </xf>
    <xf numFmtId="0" fontId="69" fillId="0" borderId="0" xfId="0" applyFont="1" applyAlignment="1">
      <alignment horizontal="justify" vertical="center"/>
    </xf>
    <xf numFmtId="0" fontId="50" fillId="0" borderId="46" xfId="33" applyNumberFormat="1" applyFont="1" applyFill="1" applyBorder="1" applyAlignment="1">
      <alignment vertical="center"/>
    </xf>
    <xf numFmtId="0" fontId="50" fillId="0" borderId="46" xfId="33" applyNumberFormat="1" applyFont="1" applyFill="1" applyBorder="1" applyAlignment="1">
      <alignment horizontal="center" vertical="center"/>
    </xf>
    <xf numFmtId="0" fontId="51" fillId="0" borderId="46" xfId="33" applyNumberFormat="1" applyFont="1" applyFill="1" applyBorder="1" applyAlignment="1"/>
    <xf numFmtId="0" fontId="29" fillId="0" borderId="46" xfId="33" applyNumberFormat="1" applyFont="1" applyFill="1" applyBorder="1" applyAlignment="1">
      <alignment horizontal="center"/>
    </xf>
    <xf numFmtId="14" fontId="29" fillId="0" borderId="46" xfId="33" applyNumberFormat="1" applyFont="1" applyFill="1" applyBorder="1" applyAlignment="1"/>
    <xf numFmtId="0" fontId="51" fillId="0" borderId="47" xfId="48" applyFont="1" applyBorder="1" applyAlignment="1">
      <alignment horizontal="left" vertical="top"/>
    </xf>
    <xf numFmtId="0" fontId="70" fillId="26" borderId="134" xfId="0" applyFont="1" applyFill="1" applyBorder="1" applyAlignment="1">
      <alignment horizontal="center" vertical="center" wrapText="1"/>
    </xf>
    <xf numFmtId="0" fontId="70" fillId="26" borderId="135" xfId="0" applyFont="1" applyFill="1" applyBorder="1" applyAlignment="1">
      <alignment horizontal="center" vertical="center" wrapText="1"/>
    </xf>
    <xf numFmtId="0" fontId="70" fillId="26" borderId="136" xfId="0" applyFont="1" applyFill="1" applyBorder="1" applyAlignment="1">
      <alignment horizontal="center" vertical="center" wrapText="1"/>
    </xf>
    <xf numFmtId="0" fontId="70" fillId="26" borderId="137" xfId="0" applyFont="1" applyFill="1" applyBorder="1" applyAlignment="1">
      <alignment horizontal="center" vertical="center" wrapText="1"/>
    </xf>
    <xf numFmtId="0" fontId="70" fillId="26" borderId="138" xfId="0" applyFont="1" applyFill="1" applyBorder="1" applyAlignment="1">
      <alignment horizontal="center" vertical="center" wrapText="1"/>
    </xf>
    <xf numFmtId="0" fontId="29" fillId="0" borderId="62" xfId="48" applyFont="1" applyFill="1" applyBorder="1" applyAlignment="1">
      <alignment horizontal="center" vertical="center"/>
    </xf>
    <xf numFmtId="0" fontId="29" fillId="24" borderId="25" xfId="48" applyFont="1" applyFill="1" applyBorder="1" applyAlignment="1">
      <alignment horizontal="center" vertical="center"/>
    </xf>
    <xf numFmtId="9" fontId="29" fillId="24" borderId="25" xfId="29" applyFont="1" applyFill="1" applyBorder="1" applyAlignment="1">
      <alignment horizontal="center" vertical="center"/>
    </xf>
    <xf numFmtId="190" fontId="29" fillId="24" borderId="25" xfId="48" applyNumberFormat="1" applyFont="1" applyFill="1" applyBorder="1" applyAlignment="1" applyProtection="1">
      <alignment vertical="center"/>
      <protection locked="0"/>
    </xf>
    <xf numFmtId="14" fontId="29" fillId="24" borderId="25" xfId="48" applyNumberFormat="1" applyFont="1" applyFill="1" applyBorder="1" applyAlignment="1" applyProtection="1">
      <alignment vertical="center"/>
      <protection locked="0"/>
    </xf>
    <xf numFmtId="199" fontId="29" fillId="24" borderId="25" xfId="33" applyNumberFormat="1" applyFont="1" applyFill="1" applyBorder="1" applyAlignment="1">
      <alignment vertical="center"/>
    </xf>
    <xf numFmtId="199" fontId="29" fillId="24" borderId="25" xfId="33" applyNumberFormat="1" applyFont="1" applyFill="1" applyBorder="1" applyAlignment="1">
      <alignment horizontal="center" vertical="center"/>
    </xf>
    <xf numFmtId="191" fontId="29" fillId="24" borderId="25" xfId="33" applyNumberFormat="1" applyFont="1" applyFill="1" applyBorder="1" applyAlignment="1">
      <alignment horizontal="center" vertical="center"/>
    </xf>
    <xf numFmtId="198" fontId="29" fillId="0" borderId="25" xfId="33" applyNumberFormat="1" applyFont="1" applyBorder="1" applyAlignment="1">
      <alignment horizontal="right" vertical="center"/>
    </xf>
    <xf numFmtId="0" fontId="53" fillId="0" borderId="0" xfId="48" applyFont="1" applyBorder="1" applyAlignment="1">
      <alignment horizontal="center" vertical="top"/>
    </xf>
    <xf numFmtId="191" fontId="28" fillId="0" borderId="109" xfId="48" applyNumberFormat="1" applyFont="1" applyFill="1" applyBorder="1" applyAlignment="1">
      <alignment horizontal="center" vertical="center"/>
    </xf>
    <xf numFmtId="198" fontId="28" fillId="27" borderId="25" xfId="33" applyNumberFormat="1" applyFont="1" applyFill="1" applyBorder="1" applyAlignment="1">
      <alignment horizontal="right" vertical="center"/>
    </xf>
    <xf numFmtId="0" fontId="53" fillId="0" borderId="0" xfId="48" applyFont="1" applyFill="1" applyBorder="1" applyAlignment="1">
      <alignment horizontal="center" vertical="center"/>
    </xf>
    <xf numFmtId="0" fontId="53" fillId="0" borderId="0" xfId="48" applyFont="1" applyFill="1" applyBorder="1" applyAlignment="1">
      <alignment horizontal="center" vertical="top"/>
    </xf>
    <xf numFmtId="198" fontId="28" fillId="31" borderId="25" xfId="33" applyNumberFormat="1" applyFont="1" applyFill="1" applyBorder="1" applyAlignment="1">
      <alignment horizontal="right" vertical="center"/>
    </xf>
    <xf numFmtId="0" fontId="28" fillId="0" borderId="0" xfId="48" applyFont="1" applyFill="1" applyBorder="1" applyAlignment="1">
      <alignment horizontal="center" vertical="center"/>
    </xf>
    <xf numFmtId="198" fontId="28" fillId="27" borderId="0" xfId="33" applyNumberFormat="1" applyFont="1" applyFill="1" applyBorder="1" applyAlignment="1">
      <alignment horizontal="right" vertical="center"/>
    </xf>
    <xf numFmtId="198" fontId="29" fillId="27" borderId="0" xfId="33" applyNumberFormat="1" applyFont="1" applyFill="1" applyBorder="1" applyAlignment="1">
      <alignment horizontal="right" vertical="center"/>
    </xf>
    <xf numFmtId="49" fontId="29" fillId="0" borderId="0" xfId="48" applyNumberFormat="1" applyFont="1" applyBorder="1" applyAlignment="1">
      <alignment horizontal="right" vertical="center"/>
    </xf>
    <xf numFmtId="0" fontId="29" fillId="0" borderId="47" xfId="48" applyFont="1" applyBorder="1" applyAlignment="1">
      <alignment vertical="center"/>
    </xf>
    <xf numFmtId="49" fontId="29" fillId="0" borderId="47" xfId="48" applyNumberFormat="1" applyFont="1" applyBorder="1" applyAlignment="1">
      <alignment horizontal="center" vertical="center"/>
    </xf>
    <xf numFmtId="41" fontId="29" fillId="0" borderId="47" xfId="33" applyFont="1" applyBorder="1" applyAlignment="1">
      <alignment horizontal="right" vertical="center"/>
    </xf>
    <xf numFmtId="0" fontId="53" fillId="0" borderId="48" xfId="48" applyFont="1" applyBorder="1" applyAlignment="1">
      <alignment horizontal="center" vertical="center"/>
    </xf>
    <xf numFmtId="49" fontId="53" fillId="0" borderId="47" xfId="48" applyNumberFormat="1" applyFont="1" applyBorder="1" applyAlignment="1">
      <alignment horizontal="center" vertical="center"/>
    </xf>
    <xf numFmtId="41" fontId="53" fillId="0" borderId="47" xfId="33" applyFont="1" applyBorder="1" applyAlignment="1">
      <alignment horizontal="right" vertical="center"/>
    </xf>
    <xf numFmtId="49" fontId="53" fillId="0" borderId="50" xfId="48" applyNumberFormat="1" applyFont="1" applyBorder="1" applyAlignment="1">
      <alignment horizontal="center" vertical="center"/>
    </xf>
    <xf numFmtId="0" fontId="61" fillId="0" borderId="46" xfId="33" applyNumberFormat="1" applyFont="1" applyFill="1" applyBorder="1" applyAlignment="1">
      <alignment horizontal="center"/>
    </xf>
    <xf numFmtId="14" fontId="61" fillId="0" borderId="46" xfId="33" applyNumberFormat="1" applyFont="1" applyFill="1" applyBorder="1" applyAlignment="1"/>
    <xf numFmtId="0" fontId="51" fillId="0" borderId="46" xfId="33" applyNumberFormat="1" applyFont="1" applyFill="1" applyBorder="1" applyAlignment="1">
      <alignment horizontal="center"/>
    </xf>
    <xf numFmtId="190" fontId="29" fillId="24" borderId="25" xfId="48" applyNumberFormat="1" applyFont="1" applyFill="1" applyBorder="1" applyAlignment="1" applyProtection="1">
      <alignment horizontal="center" vertical="center"/>
      <protection locked="0"/>
    </xf>
    <xf numFmtId="198" fontId="29" fillId="27" borderId="25" xfId="33" applyNumberFormat="1" applyFont="1" applyFill="1" applyBorder="1" applyAlignment="1">
      <alignment horizontal="right" vertical="center"/>
    </xf>
    <xf numFmtId="0" fontId="29" fillId="0" borderId="47" xfId="48" applyFont="1" applyFill="1" applyBorder="1" applyAlignment="1">
      <alignment vertical="center"/>
    </xf>
    <xf numFmtId="49" fontId="53" fillId="0" borderId="47" xfId="48" applyNumberFormat="1" applyFont="1" applyFill="1" applyBorder="1" applyAlignment="1">
      <alignment horizontal="center" vertical="center"/>
    </xf>
    <xf numFmtId="49" fontId="53" fillId="0" borderId="49" xfId="48" applyNumberFormat="1" applyFont="1" applyFill="1" applyBorder="1" applyAlignment="1">
      <alignment horizontal="center" vertical="center"/>
    </xf>
    <xf numFmtId="0" fontId="42" fillId="0" borderId="60" xfId="48" applyFont="1" applyBorder="1" applyAlignment="1">
      <alignment horizontal="center" vertical="center"/>
    </xf>
    <xf numFmtId="41" fontId="53" fillId="0" borderId="47" xfId="33" applyFont="1" applyBorder="1" applyAlignment="1">
      <alignment horizontal="center" vertical="center"/>
    </xf>
    <xf numFmtId="0" fontId="51" fillId="0" borderId="0" xfId="33" applyNumberFormat="1" applyFont="1" applyFill="1" applyBorder="1" applyAlignment="1">
      <alignment horizontal="center"/>
    </xf>
    <xf numFmtId="0" fontId="42" fillId="0" borderId="0" xfId="48" applyFont="1" applyBorder="1" applyAlignment="1">
      <alignment horizontal="center" vertical="center"/>
    </xf>
    <xf numFmtId="0" fontId="50" fillId="0" borderId="46" xfId="33" applyNumberFormat="1" applyFont="1" applyFill="1" applyBorder="1" applyAlignment="1">
      <alignment horizontal="left" vertical="center"/>
    </xf>
    <xf numFmtId="0" fontId="51" fillId="0" borderId="46" xfId="48" applyFont="1" applyBorder="1" applyAlignment="1">
      <alignment horizontal="left" vertical="top"/>
    </xf>
    <xf numFmtId="0" fontId="28" fillId="26" borderId="68" xfId="48" applyFont="1" applyFill="1" applyBorder="1" applyAlignment="1">
      <alignment horizontal="center" vertical="center" wrapText="1"/>
    </xf>
    <xf numFmtId="0" fontId="28" fillId="26" borderId="125" xfId="48" applyFont="1" applyFill="1" applyBorder="1" applyAlignment="1">
      <alignment horizontal="center" vertical="center" wrapText="1"/>
    </xf>
    <xf numFmtId="0" fontId="28" fillId="26" borderId="139" xfId="48" applyFont="1" applyFill="1" applyBorder="1" applyAlignment="1">
      <alignment horizontal="center" vertical="center" wrapText="1"/>
    </xf>
    <xf numFmtId="0" fontId="28" fillId="26" borderId="104" xfId="48" applyFont="1" applyFill="1" applyBorder="1" applyAlignment="1">
      <alignment horizontal="center" vertical="center" wrapText="1"/>
    </xf>
    <xf numFmtId="0" fontId="28" fillId="26" borderId="140" xfId="48" applyFont="1" applyFill="1" applyBorder="1" applyAlignment="1">
      <alignment horizontal="center" vertical="center" wrapText="1"/>
    </xf>
    <xf numFmtId="49" fontId="28" fillId="26" borderId="140" xfId="48" applyNumberFormat="1" applyFont="1" applyFill="1" applyBorder="1" applyAlignment="1">
      <alignment horizontal="center" vertical="center" wrapText="1"/>
    </xf>
    <xf numFmtId="0" fontId="28" fillId="26" borderId="126" xfId="48" applyFont="1" applyFill="1" applyBorder="1" applyAlignment="1">
      <alignment horizontal="center" vertical="center" wrapText="1"/>
    </xf>
    <xf numFmtId="0" fontId="29" fillId="0" borderId="69" xfId="48" applyFont="1" applyFill="1" applyBorder="1" applyAlignment="1">
      <alignment horizontal="center" vertical="center"/>
    </xf>
    <xf numFmtId="9" fontId="29" fillId="24" borderId="25" xfId="48" applyNumberFormat="1" applyFont="1" applyFill="1" applyBorder="1" applyAlignment="1">
      <alignment horizontal="center" vertical="center"/>
    </xf>
    <xf numFmtId="41" fontId="29" fillId="24" borderId="25" xfId="48" applyNumberFormat="1" applyFont="1" applyFill="1" applyBorder="1" applyAlignment="1">
      <alignment horizontal="center" vertical="center"/>
    </xf>
    <xf numFmtId="215" fontId="29" fillId="24" borderId="25" xfId="29" applyNumberFormat="1" applyFont="1" applyFill="1" applyBorder="1" applyAlignment="1">
      <alignment horizontal="center" vertical="center"/>
    </xf>
    <xf numFmtId="179" fontId="29" fillId="0" borderId="25" xfId="48" applyNumberFormat="1" applyFont="1" applyFill="1" applyBorder="1" applyAlignment="1" applyProtection="1">
      <alignment vertical="center"/>
      <protection locked="0"/>
    </xf>
    <xf numFmtId="179" fontId="29" fillId="0" borderId="25" xfId="48" applyNumberFormat="1" applyFont="1" applyBorder="1" applyAlignment="1" applyProtection="1">
      <alignment vertical="center"/>
      <protection locked="0"/>
    </xf>
    <xf numFmtId="180" fontId="29" fillId="0" borderId="25" xfId="48" applyNumberFormat="1" applyFont="1" applyBorder="1" applyAlignment="1" applyProtection="1">
      <alignment vertical="center"/>
      <protection locked="0"/>
    </xf>
    <xf numFmtId="0" fontId="29" fillId="0" borderId="63" xfId="48" applyFont="1" applyBorder="1" applyAlignment="1">
      <alignment horizontal="center" vertical="center"/>
    </xf>
    <xf numFmtId="0" fontId="29" fillId="0" borderId="0" xfId="48" applyFont="1" applyBorder="1" applyAlignment="1">
      <alignment horizontal="center" vertical="top"/>
    </xf>
    <xf numFmtId="180" fontId="28" fillId="27" borderId="25" xfId="48" applyNumberFormat="1" applyFont="1" applyFill="1" applyBorder="1" applyAlignment="1" applyProtection="1">
      <alignment vertical="center"/>
      <protection locked="0"/>
    </xf>
    <xf numFmtId="0" fontId="28" fillId="0" borderId="63" xfId="48" applyFont="1" applyBorder="1" applyAlignment="1">
      <alignment horizontal="center" vertical="center"/>
    </xf>
    <xf numFmtId="0" fontId="28" fillId="0" borderId="0" xfId="48" applyFont="1" applyBorder="1" applyAlignment="1">
      <alignment horizontal="center" vertical="top"/>
    </xf>
    <xf numFmtId="215" fontId="29" fillId="24" borderId="25" xfId="48" applyNumberFormat="1" applyFont="1" applyFill="1" applyBorder="1" applyAlignment="1">
      <alignment horizontal="center" vertical="center"/>
    </xf>
    <xf numFmtId="180" fontId="28" fillId="27" borderId="103" xfId="48" applyNumberFormat="1" applyFont="1" applyFill="1" applyBorder="1" applyAlignment="1">
      <alignment vertical="center"/>
    </xf>
    <xf numFmtId="0" fontId="28" fillId="0" borderId="67" xfId="48" applyFont="1" applyBorder="1" applyAlignment="1">
      <alignment horizontal="center" vertical="center"/>
    </xf>
    <xf numFmtId="0" fontId="53" fillId="0" borderId="50" xfId="48" applyFont="1" applyBorder="1" applyAlignment="1">
      <alignment horizontal="center" vertical="center"/>
    </xf>
    <xf numFmtId="0" fontId="43" fillId="0" borderId="46" xfId="33" applyNumberFormat="1" applyFont="1" applyFill="1" applyBorder="1" applyAlignment="1">
      <alignment horizontal="center" vertical="center"/>
    </xf>
    <xf numFmtId="0" fontId="47" fillId="0" borderId="46" xfId="33" applyNumberFormat="1" applyFont="1" applyFill="1" applyBorder="1" applyAlignment="1"/>
    <xf numFmtId="0" fontId="47" fillId="0" borderId="46" xfId="48" applyFont="1" applyBorder="1" applyAlignment="1">
      <alignment horizontal="left" vertical="top"/>
    </xf>
    <xf numFmtId="0" fontId="43" fillId="0" borderId="0" xfId="48" applyFont="1" applyBorder="1" applyAlignment="1">
      <alignment horizontal="center" vertical="center" wrapText="1"/>
    </xf>
    <xf numFmtId="0" fontId="29" fillId="0" borderId="69" xfId="48" applyFont="1" applyBorder="1" applyAlignment="1">
      <alignment horizontal="center" vertical="center"/>
    </xf>
    <xf numFmtId="41" fontId="29" fillId="24" borderId="25" xfId="29" applyNumberFormat="1" applyFont="1" applyFill="1" applyBorder="1" applyAlignment="1">
      <alignment horizontal="center" vertical="center"/>
    </xf>
    <xf numFmtId="0" fontId="47" fillId="0" borderId="63" xfId="48" applyFont="1" applyBorder="1" applyAlignment="1">
      <alignment horizontal="center" vertical="center"/>
    </xf>
    <xf numFmtId="0" fontId="47" fillId="0" borderId="0" xfId="48" applyFont="1" applyBorder="1" applyAlignment="1">
      <alignment horizontal="center" vertical="center"/>
    </xf>
    <xf numFmtId="0" fontId="43" fillId="0" borderId="63" xfId="48" applyFont="1" applyBorder="1" applyAlignment="1">
      <alignment horizontal="center" vertical="center"/>
    </xf>
    <xf numFmtId="0" fontId="43" fillId="0" borderId="0" xfId="48" applyFont="1" applyBorder="1" applyAlignment="1">
      <alignment horizontal="center" vertical="top"/>
    </xf>
    <xf numFmtId="0" fontId="47" fillId="0" borderId="0" xfId="48" applyFont="1" applyBorder="1" applyAlignment="1">
      <alignment horizontal="center" vertical="top"/>
    </xf>
    <xf numFmtId="0" fontId="43" fillId="0" borderId="67" xfId="48" applyFont="1" applyBorder="1" applyAlignment="1">
      <alignment horizontal="center" vertical="center"/>
    </xf>
    <xf numFmtId="0" fontId="29" fillId="0" borderId="50" xfId="48" applyFont="1" applyBorder="1" applyAlignment="1">
      <alignment vertical="center"/>
    </xf>
    <xf numFmtId="0" fontId="28" fillId="0" borderId="68" xfId="48" applyFont="1" applyFill="1" applyBorder="1" applyAlignment="1">
      <alignment horizontal="center" vertical="center" wrapText="1"/>
    </xf>
    <xf numFmtId="191" fontId="29" fillId="24" borderId="25" xfId="48" applyNumberFormat="1" applyFont="1" applyFill="1" applyBorder="1" applyAlignment="1">
      <alignment horizontal="center" vertical="center"/>
    </xf>
    <xf numFmtId="0" fontId="53" fillId="0" borderId="183" xfId="48" applyFont="1" applyBorder="1" applyAlignment="1">
      <alignment horizontal="center" vertical="center"/>
    </xf>
    <xf numFmtId="0" fontId="53" fillId="0" borderId="60" xfId="48" applyFont="1" applyBorder="1" applyAlignment="1">
      <alignment horizontal="center" vertical="center"/>
    </xf>
    <xf numFmtId="180" fontId="46" fillId="0" borderId="0" xfId="33" applyNumberFormat="1" applyFont="1">
      <alignment vertical="center"/>
    </xf>
    <xf numFmtId="0" fontId="46" fillId="0" borderId="92" xfId="0" applyFont="1" applyBorder="1" applyAlignment="1">
      <alignment horizontal="center" vertical="center" wrapText="1"/>
    </xf>
    <xf numFmtId="9" fontId="46" fillId="0" borderId="97" xfId="29" applyFont="1" applyFill="1" applyBorder="1" applyAlignment="1">
      <alignment horizontal="center" vertical="center"/>
    </xf>
    <xf numFmtId="176" fontId="46" fillId="24" borderId="36" xfId="29" applyNumberFormat="1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 wrapText="1"/>
    </xf>
    <xf numFmtId="0" fontId="46" fillId="0" borderId="94" xfId="0" applyFont="1" applyBorder="1" applyAlignment="1">
      <alignment horizontal="center" vertical="center" wrapText="1"/>
    </xf>
    <xf numFmtId="9" fontId="46" fillId="0" borderId="98" xfId="29" applyFont="1" applyFill="1" applyBorder="1" applyAlignment="1">
      <alignment horizontal="center" vertical="center"/>
    </xf>
    <xf numFmtId="176" fontId="46" fillId="24" borderId="29" xfId="29" applyNumberFormat="1" applyFont="1" applyFill="1" applyBorder="1" applyAlignment="1">
      <alignment horizontal="center" vertical="center"/>
    </xf>
    <xf numFmtId="9" fontId="46" fillId="0" borderId="96" xfId="0" applyNumberFormat="1" applyFont="1" applyBorder="1" applyAlignment="1">
      <alignment horizontal="center" vertical="center" wrapText="1"/>
    </xf>
    <xf numFmtId="9" fontId="46" fillId="0" borderId="99" xfId="29" applyFont="1" applyFill="1" applyBorder="1" applyAlignment="1">
      <alignment horizontal="center" vertical="center"/>
    </xf>
    <xf numFmtId="176" fontId="46" fillId="24" borderId="32" xfId="29" applyNumberFormat="1" applyFont="1" applyFill="1" applyBorder="1" applyAlignment="1">
      <alignment horizontal="center" vertical="center"/>
    </xf>
    <xf numFmtId="0" fontId="42" fillId="0" borderId="25" xfId="0" applyFont="1" applyBorder="1">
      <alignment vertical="center"/>
    </xf>
    <xf numFmtId="0" fontId="56" fillId="0" borderId="25" xfId="0" applyFont="1" applyBorder="1" applyAlignment="1">
      <alignment horizontal="center" vertical="center"/>
    </xf>
    <xf numFmtId="177" fontId="72" fillId="29" borderId="28" xfId="0" applyNumberFormat="1" applyFont="1" applyFill="1" applyBorder="1" applyAlignment="1">
      <alignment vertical="center"/>
    </xf>
    <xf numFmtId="177" fontId="72" fillId="29" borderId="31" xfId="0" applyNumberFormat="1" applyFont="1" applyFill="1" applyBorder="1" applyAlignment="1">
      <alignment vertical="center"/>
    </xf>
    <xf numFmtId="177" fontId="72" fillId="29" borderId="24" xfId="0" applyNumberFormat="1" applyFont="1" applyFill="1" applyBorder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57" fillId="0" borderId="0" xfId="0" applyFont="1" applyFill="1" applyAlignment="1">
      <alignment vertical="center"/>
    </xf>
    <xf numFmtId="0" fontId="57" fillId="0" borderId="25" xfId="0" applyFont="1" applyFill="1" applyBorder="1" applyAlignment="1">
      <alignment horizontal="center" vertical="center"/>
    </xf>
    <xf numFmtId="0" fontId="57" fillId="24" borderId="25" xfId="0" applyFont="1" applyFill="1" applyBorder="1" applyAlignment="1">
      <alignment horizontal="center" vertical="center" wrapText="1"/>
    </xf>
    <xf numFmtId="9" fontId="57" fillId="32" borderId="25" xfId="29" applyFont="1" applyFill="1" applyBorder="1" applyAlignment="1">
      <alignment horizontal="center" vertical="center"/>
    </xf>
    <xf numFmtId="9" fontId="57" fillId="24" borderId="25" xfId="29" applyFont="1" applyFill="1" applyBorder="1" applyAlignment="1">
      <alignment horizontal="center" vertical="center"/>
    </xf>
    <xf numFmtId="9" fontId="57" fillId="0" borderId="25" xfId="29" applyFont="1" applyFill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6" fillId="0" borderId="0" xfId="0" applyFont="1" applyBorder="1" applyAlignment="1">
      <alignment horizontal="left" vertical="center" wrapText="1"/>
    </xf>
    <xf numFmtId="180" fontId="31" fillId="0" borderId="0" xfId="33" applyNumberFormat="1" applyFont="1" applyFill="1" applyBorder="1" applyAlignment="1">
      <alignment vertical="center" wrapText="1"/>
    </xf>
    <xf numFmtId="202" fontId="33" fillId="0" borderId="0" xfId="33" applyNumberFormat="1" applyFont="1" applyFill="1" applyBorder="1" applyAlignment="1">
      <alignment horizontal="center" vertical="center" wrapText="1"/>
    </xf>
    <xf numFmtId="202" fontId="31" fillId="0" borderId="0" xfId="33" applyNumberFormat="1" applyFont="1" applyFill="1" applyBorder="1" applyAlignment="1">
      <alignment horizontal="center" vertical="center" wrapText="1"/>
    </xf>
    <xf numFmtId="10" fontId="31" fillId="0" borderId="0" xfId="29" applyNumberFormat="1" applyFont="1" applyFill="1" applyBorder="1" applyAlignment="1">
      <alignment horizontal="center" vertical="center" wrapText="1"/>
    </xf>
    <xf numFmtId="191" fontId="32" fillId="0" borderId="115" xfId="33" applyNumberFormat="1" applyFont="1" applyFill="1" applyBorder="1" applyAlignment="1">
      <alignment horizontal="center" vertical="center" wrapText="1"/>
    </xf>
    <xf numFmtId="0" fontId="32" fillId="0" borderId="64" xfId="33" applyNumberFormat="1" applyFont="1" applyFill="1" applyBorder="1" applyAlignment="1">
      <alignment horizontal="center" vertical="center" wrapText="1"/>
    </xf>
    <xf numFmtId="191" fontId="32" fillId="0" borderId="51" xfId="33" applyNumberFormat="1" applyFont="1" applyFill="1" applyBorder="1" applyAlignment="1">
      <alignment horizontal="center" vertical="center" wrapText="1"/>
    </xf>
    <xf numFmtId="0" fontId="32" fillId="0" borderId="0" xfId="33" applyNumberFormat="1" applyFont="1" applyFill="1" applyBorder="1" applyAlignment="1">
      <alignment horizontal="center" vertical="center" wrapText="1"/>
    </xf>
    <xf numFmtId="191" fontId="32" fillId="0" borderId="119" xfId="33" applyNumberFormat="1" applyFont="1" applyFill="1" applyBorder="1" applyAlignment="1">
      <alignment horizontal="center" vertical="center" wrapText="1"/>
    </xf>
    <xf numFmtId="9" fontId="32" fillId="0" borderId="81" xfId="29" quotePrefix="1" applyFont="1" applyFill="1" applyBorder="1" applyAlignment="1">
      <alignment horizontal="center" vertical="center" wrapText="1"/>
    </xf>
    <xf numFmtId="180" fontId="32" fillId="0" borderId="119" xfId="33" applyNumberFormat="1" applyFont="1" applyBorder="1" applyAlignment="1">
      <alignment horizontal="center" vertical="center" wrapText="1"/>
    </xf>
    <xf numFmtId="180" fontId="32" fillId="0" borderId="101" xfId="33" applyNumberFormat="1" applyFont="1" applyFill="1" applyBorder="1" applyAlignment="1">
      <alignment horizontal="center" vertical="center" wrapText="1"/>
    </xf>
    <xf numFmtId="208" fontId="43" fillId="0" borderId="59" xfId="0" applyNumberFormat="1" applyFont="1" applyBorder="1" applyAlignment="1">
      <alignment horizontal="center" vertical="center" wrapText="1"/>
    </xf>
    <xf numFmtId="208" fontId="43" fillId="0" borderId="142" xfId="0" applyNumberFormat="1" applyFont="1" applyBorder="1" applyAlignment="1">
      <alignment horizontal="left" vertical="center" wrapText="1"/>
    </xf>
    <xf numFmtId="0" fontId="43" fillId="0" borderId="59" xfId="0" applyFont="1" applyBorder="1" applyAlignment="1">
      <alignment horizontal="center" vertical="center"/>
    </xf>
    <xf numFmtId="0" fontId="55" fillId="0" borderId="0" xfId="0" applyFont="1" applyAlignment="1">
      <alignment vertical="center" wrapText="1"/>
    </xf>
    <xf numFmtId="0" fontId="57" fillId="0" borderId="0" xfId="0" applyFont="1" applyAlignment="1">
      <alignment vertical="center" wrapText="1"/>
    </xf>
    <xf numFmtId="0" fontId="28" fillId="0" borderId="0" xfId="48" applyFont="1" applyFill="1" applyBorder="1" applyAlignment="1">
      <alignment horizontal="left" vertical="center"/>
    </xf>
    <xf numFmtId="49" fontId="29" fillId="0" borderId="0" xfId="48" applyNumberFormat="1" applyFont="1" applyBorder="1" applyAlignment="1">
      <alignment horizontal="left" vertical="center"/>
    </xf>
    <xf numFmtId="49" fontId="29" fillId="0" borderId="0" xfId="48" applyNumberFormat="1" applyFont="1" applyBorder="1" applyAlignment="1">
      <alignment horizontal="left" vertical="center" wrapText="1"/>
    </xf>
    <xf numFmtId="0" fontId="32" fillId="24" borderId="58" xfId="48" applyFont="1" applyFill="1" applyBorder="1" applyAlignment="1">
      <alignment horizontal="center" vertical="center" wrapText="1"/>
    </xf>
    <xf numFmtId="0" fontId="32" fillId="24" borderId="109" xfId="48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0" fontId="46" fillId="0" borderId="0" xfId="0" applyFont="1" applyBorder="1" applyAlignment="1">
      <alignment horizontal="left" vertical="center" wrapText="1"/>
    </xf>
    <xf numFmtId="0" fontId="57" fillId="24" borderId="161" xfId="0" applyFont="1" applyFill="1" applyBorder="1" applyAlignment="1">
      <alignment horizontal="center" vertical="center" wrapText="1"/>
    </xf>
    <xf numFmtId="0" fontId="57" fillId="24" borderId="162" xfId="0" applyFont="1" applyFill="1" applyBorder="1" applyAlignment="1">
      <alignment horizontal="center" vertical="center" wrapText="1"/>
    </xf>
    <xf numFmtId="0" fontId="57" fillId="24" borderId="163" xfId="0" applyFont="1" applyFill="1" applyBorder="1" applyAlignment="1">
      <alignment horizontal="center" vertical="center" wrapText="1"/>
    </xf>
    <xf numFmtId="180" fontId="32" fillId="0" borderId="70" xfId="33" applyNumberFormat="1" applyFont="1" applyFill="1" applyBorder="1" applyAlignment="1">
      <alignment horizontal="center" vertical="center" wrapText="1"/>
    </xf>
    <xf numFmtId="180" fontId="32" fillId="0" borderId="71" xfId="33" applyNumberFormat="1" applyFont="1" applyFill="1" applyBorder="1" applyAlignment="1">
      <alignment horizontal="center" vertical="center" wrapText="1"/>
    </xf>
    <xf numFmtId="180" fontId="32" fillId="0" borderId="72" xfId="33" applyNumberFormat="1" applyFont="1" applyFill="1" applyBorder="1" applyAlignment="1">
      <alignment horizontal="center" vertical="center" wrapText="1"/>
    </xf>
    <xf numFmtId="180" fontId="32" fillId="0" borderId="113" xfId="33" applyNumberFormat="1" applyFont="1" applyBorder="1" applyAlignment="1">
      <alignment horizontal="center" vertical="center" wrapText="1"/>
    </xf>
    <xf numFmtId="180" fontId="32" fillId="0" borderId="10" xfId="33" applyNumberFormat="1" applyFont="1" applyBorder="1" applyAlignment="1">
      <alignment horizontal="center" vertical="center" wrapText="1"/>
    </xf>
    <xf numFmtId="0" fontId="31" fillId="0" borderId="113" xfId="33" applyNumberFormat="1" applyFont="1" applyBorder="1" applyAlignment="1">
      <alignment horizontal="center" vertical="center" wrapText="1"/>
    </xf>
    <xf numFmtId="0" fontId="31" fillId="0" borderId="10" xfId="33" applyNumberFormat="1" applyFont="1" applyBorder="1" applyAlignment="1">
      <alignment horizontal="center" vertical="center" wrapText="1"/>
    </xf>
    <xf numFmtId="180" fontId="32" fillId="0" borderId="158" xfId="33" applyNumberFormat="1" applyFont="1" applyBorder="1" applyAlignment="1">
      <alignment horizontal="center" vertical="center" wrapText="1"/>
    </xf>
    <xf numFmtId="180" fontId="32" fillId="0" borderId="159" xfId="33" applyNumberFormat="1" applyFont="1" applyBorder="1" applyAlignment="1">
      <alignment horizontal="center" vertical="center" wrapText="1"/>
    </xf>
    <xf numFmtId="180" fontId="32" fillId="0" borderId="160" xfId="33" applyNumberFormat="1" applyFont="1" applyBorder="1" applyAlignment="1">
      <alignment horizontal="center" vertical="center" wrapText="1"/>
    </xf>
    <xf numFmtId="0" fontId="31" fillId="0" borderId="141" xfId="33" applyNumberFormat="1" applyFont="1" applyBorder="1" applyAlignment="1">
      <alignment horizontal="center" vertical="center" wrapText="1"/>
    </xf>
    <xf numFmtId="0" fontId="31" fillId="0" borderId="47" xfId="33" applyNumberFormat="1" applyFont="1" applyBorder="1" applyAlignment="1">
      <alignment horizontal="center" vertical="center" wrapText="1"/>
    </xf>
    <xf numFmtId="0" fontId="31" fillId="0" borderId="117" xfId="33" applyNumberFormat="1" applyFont="1" applyBorder="1" applyAlignment="1">
      <alignment horizontal="center" vertical="center" wrapText="1"/>
    </xf>
    <xf numFmtId="180" fontId="31" fillId="0" borderId="155" xfId="33" applyNumberFormat="1" applyFont="1" applyBorder="1" applyAlignment="1">
      <alignment horizontal="center" vertical="center" wrapText="1"/>
    </xf>
    <xf numFmtId="180" fontId="31" fillId="0" borderId="214" xfId="33" applyNumberFormat="1" applyFont="1" applyBorder="1" applyAlignment="1">
      <alignment horizontal="center" vertical="center" wrapText="1"/>
    </xf>
    <xf numFmtId="180" fontId="32" fillId="0" borderId="227" xfId="33" applyNumberFormat="1" applyFont="1" applyBorder="1" applyAlignment="1">
      <alignment horizontal="center" vertical="center" wrapText="1"/>
    </xf>
    <xf numFmtId="180" fontId="32" fillId="0" borderId="48" xfId="33" applyNumberFormat="1" applyFont="1" applyBorder="1" applyAlignment="1">
      <alignment horizontal="center" vertical="center" wrapText="1"/>
    </xf>
    <xf numFmtId="180" fontId="32" fillId="0" borderId="116" xfId="33" applyNumberFormat="1" applyFont="1" applyBorder="1" applyAlignment="1">
      <alignment horizontal="center" vertical="center" wrapText="1"/>
    </xf>
    <xf numFmtId="180" fontId="32" fillId="0" borderId="226" xfId="33" applyNumberFormat="1" applyFont="1" applyBorder="1" applyAlignment="1">
      <alignment horizontal="center" vertical="center" wrapText="1"/>
    </xf>
    <xf numFmtId="180" fontId="32" fillId="0" borderId="112" xfId="33" applyNumberFormat="1" applyFont="1" applyBorder="1" applyAlignment="1">
      <alignment horizontal="center" vertical="center" wrapText="1"/>
    </xf>
    <xf numFmtId="180" fontId="32" fillId="0" borderId="28" xfId="33" applyNumberFormat="1" applyFont="1" applyBorder="1" applyAlignment="1">
      <alignment horizontal="center" vertical="center" wrapText="1"/>
    </xf>
    <xf numFmtId="0" fontId="31" fillId="0" borderId="11" xfId="33" applyNumberFormat="1" applyFont="1" applyBorder="1" applyAlignment="1">
      <alignment horizontal="center" vertical="center" wrapText="1"/>
    </xf>
    <xf numFmtId="0" fontId="31" fillId="0" borderId="81" xfId="33" applyNumberFormat="1" applyFont="1" applyBorder="1" applyAlignment="1">
      <alignment horizontal="center" vertical="center" wrapText="1"/>
    </xf>
    <xf numFmtId="180" fontId="32" fillId="0" borderId="78" xfId="33" applyNumberFormat="1" applyFont="1" applyBorder="1" applyAlignment="1">
      <alignment horizontal="center" vertical="center" wrapText="1"/>
    </xf>
    <xf numFmtId="180" fontId="32" fillId="0" borderId="80" xfId="33" applyNumberFormat="1" applyFont="1" applyBorder="1" applyAlignment="1">
      <alignment horizontal="center" vertical="center" wrapText="1"/>
    </xf>
    <xf numFmtId="180" fontId="32" fillId="0" borderId="0" xfId="33" applyNumberFormat="1" applyFont="1" applyBorder="1" applyAlignment="1">
      <alignment horizontal="right" vertical="center"/>
    </xf>
    <xf numFmtId="0" fontId="31" fillId="0" borderId="11" xfId="33" applyNumberFormat="1" applyFont="1" applyFill="1" applyBorder="1" applyAlignment="1">
      <alignment horizontal="center" vertical="center" wrapText="1"/>
    </xf>
    <xf numFmtId="0" fontId="31" fillId="0" borderId="113" xfId="33" applyNumberFormat="1" applyFont="1" applyFill="1" applyBorder="1" applyAlignment="1">
      <alignment horizontal="center" vertical="center" wrapText="1"/>
    </xf>
    <xf numFmtId="0" fontId="31" fillId="0" borderId="47" xfId="33" applyNumberFormat="1" applyFont="1" applyFill="1" applyBorder="1" applyAlignment="1">
      <alignment horizontal="center" vertical="center" wrapText="1"/>
    </xf>
    <xf numFmtId="180" fontId="31" fillId="0" borderId="0" xfId="33" applyNumberFormat="1" applyFont="1" applyFill="1" applyBorder="1" applyAlignment="1">
      <alignment horizontal="center" vertical="center" wrapText="1"/>
    </xf>
    <xf numFmtId="180" fontId="32" fillId="0" borderId="170" xfId="33" applyNumberFormat="1" applyFont="1" applyFill="1" applyBorder="1" applyAlignment="1">
      <alignment horizontal="center" vertical="center" wrapText="1"/>
    </xf>
    <xf numFmtId="188" fontId="32" fillId="31" borderId="216" xfId="33" applyNumberFormat="1" applyFont="1" applyFill="1" applyBorder="1" applyAlignment="1">
      <alignment horizontal="center" vertical="center"/>
    </xf>
    <xf numFmtId="188" fontId="32" fillId="31" borderId="217" xfId="33" applyNumberFormat="1" applyFont="1" applyFill="1" applyBorder="1" applyAlignment="1">
      <alignment horizontal="center" vertical="center"/>
    </xf>
    <xf numFmtId="188" fontId="32" fillId="31" borderId="218" xfId="33" applyNumberFormat="1" applyFont="1" applyFill="1" applyBorder="1" applyAlignment="1">
      <alignment horizontal="center" vertical="center"/>
    </xf>
    <xf numFmtId="180" fontId="32" fillId="0" borderId="213" xfId="33" applyNumberFormat="1" applyFont="1" applyFill="1" applyBorder="1" applyAlignment="1">
      <alignment horizontal="center" vertical="center" wrapText="1"/>
    </xf>
    <xf numFmtId="0" fontId="31" fillId="0" borderId="76" xfId="33" applyNumberFormat="1" applyFont="1" applyFill="1" applyBorder="1" applyAlignment="1">
      <alignment horizontal="center" vertical="center" wrapText="1"/>
    </xf>
    <xf numFmtId="180" fontId="32" fillId="0" borderId="24" xfId="33" applyNumberFormat="1" applyFont="1" applyFill="1" applyBorder="1" applyAlignment="1">
      <alignment horizontal="center" vertical="center" wrapText="1"/>
    </xf>
    <xf numFmtId="180" fontId="32" fillId="0" borderId="28" xfId="33" applyNumberFormat="1" applyFont="1" applyFill="1" applyBorder="1" applyAlignment="1">
      <alignment horizontal="center" vertical="center" wrapText="1"/>
    </xf>
    <xf numFmtId="180" fontId="32" fillId="0" borderId="31" xfId="33" applyNumberFormat="1" applyFont="1" applyFill="1" applyBorder="1" applyAlignment="1">
      <alignment horizontal="center" vertical="center" wrapText="1"/>
    </xf>
    <xf numFmtId="180" fontId="32" fillId="0" borderId="24" xfId="33" applyNumberFormat="1" applyFont="1" applyBorder="1" applyAlignment="1">
      <alignment horizontal="center" vertical="center" wrapText="1"/>
    </xf>
    <xf numFmtId="0" fontId="32" fillId="26" borderId="84" xfId="33" applyNumberFormat="1" applyFont="1" applyFill="1" applyBorder="1" applyAlignment="1">
      <alignment horizontal="left" vertical="center" wrapText="1"/>
    </xf>
    <xf numFmtId="0" fontId="32" fillId="26" borderId="262" xfId="33" applyNumberFormat="1" applyFont="1" applyFill="1" applyBorder="1" applyAlignment="1">
      <alignment horizontal="left" vertical="center" wrapText="1"/>
    </xf>
    <xf numFmtId="180" fontId="32" fillId="0" borderId="64" xfId="33" applyNumberFormat="1" applyFont="1" applyBorder="1" applyAlignment="1">
      <alignment horizontal="center" vertical="center" wrapText="1"/>
    </xf>
    <xf numFmtId="180" fontId="32" fillId="0" borderId="0" xfId="33" applyNumberFormat="1" applyFont="1" applyBorder="1" applyAlignment="1">
      <alignment horizontal="center" vertical="center" wrapText="1"/>
    </xf>
    <xf numFmtId="180" fontId="32" fillId="0" borderId="167" xfId="33" applyNumberFormat="1" applyFont="1" applyBorder="1" applyAlignment="1">
      <alignment horizontal="center" vertical="center" wrapText="1"/>
    </xf>
    <xf numFmtId="180" fontId="32" fillId="0" borderId="213" xfId="33" applyNumberFormat="1" applyFont="1" applyBorder="1" applyAlignment="1">
      <alignment horizontal="center" vertical="center" wrapText="1"/>
    </xf>
    <xf numFmtId="180" fontId="32" fillId="0" borderId="170" xfId="33" applyNumberFormat="1" applyFont="1" applyBorder="1" applyAlignment="1">
      <alignment horizontal="center" vertical="center" wrapText="1"/>
    </xf>
    <xf numFmtId="180" fontId="32" fillId="0" borderId="168" xfId="33" applyNumberFormat="1" applyFont="1" applyFill="1" applyBorder="1" applyAlignment="1">
      <alignment horizontal="center" vertical="center" wrapText="1"/>
    </xf>
    <xf numFmtId="180" fontId="32" fillId="0" borderId="215" xfId="33" applyNumberFormat="1" applyFont="1" applyFill="1" applyBorder="1" applyAlignment="1">
      <alignment horizontal="center" vertical="center" wrapText="1"/>
    </xf>
    <xf numFmtId="180" fontId="32" fillId="0" borderId="25" xfId="33" applyNumberFormat="1" applyFont="1" applyFill="1" applyBorder="1" applyAlignment="1">
      <alignment horizontal="center" vertical="center" wrapText="1"/>
    </xf>
    <xf numFmtId="180" fontId="32" fillId="0" borderId="168" xfId="33" applyNumberFormat="1" applyFont="1" applyBorder="1" applyAlignment="1">
      <alignment horizontal="center" vertical="center" wrapText="1"/>
    </xf>
    <xf numFmtId="180" fontId="32" fillId="0" borderId="215" xfId="33" applyNumberFormat="1" applyFont="1" applyBorder="1" applyAlignment="1">
      <alignment horizontal="center" vertical="center" wrapText="1"/>
    </xf>
    <xf numFmtId="180" fontId="32" fillId="0" borderId="169" xfId="33" applyNumberFormat="1" applyFont="1" applyFill="1" applyBorder="1" applyAlignment="1">
      <alignment horizontal="center" vertical="center" wrapText="1"/>
    </xf>
    <xf numFmtId="180" fontId="32" fillId="0" borderId="214" xfId="33" applyNumberFormat="1" applyFont="1" applyBorder="1" applyAlignment="1">
      <alignment horizontal="center" vertical="center" wrapText="1"/>
    </xf>
    <xf numFmtId="180" fontId="32" fillId="0" borderId="50" xfId="33" applyNumberFormat="1" applyFont="1" applyBorder="1" applyAlignment="1">
      <alignment horizontal="center" vertical="center" wrapText="1"/>
    </xf>
    <xf numFmtId="0" fontId="31" fillId="0" borderId="76" xfId="33" applyNumberFormat="1" applyFont="1" applyBorder="1" applyAlignment="1">
      <alignment horizontal="center" vertical="center" wrapText="1"/>
    </xf>
    <xf numFmtId="180" fontId="32" fillId="0" borderId="75" xfId="33" applyNumberFormat="1" applyFont="1" applyBorder="1" applyAlignment="1">
      <alignment horizontal="center" vertical="center" wrapText="1"/>
    </xf>
    <xf numFmtId="0" fontId="31" fillId="0" borderId="81" xfId="33" applyNumberFormat="1" applyFont="1" applyFill="1" applyBorder="1" applyAlignment="1">
      <alignment horizontal="center" vertical="center" wrapText="1"/>
    </xf>
    <xf numFmtId="0" fontId="32" fillId="30" borderId="166" xfId="33" applyNumberFormat="1" applyFont="1" applyFill="1" applyBorder="1" applyAlignment="1">
      <alignment horizontal="center" vertical="center" wrapText="1"/>
    </xf>
    <xf numFmtId="0" fontId="32" fillId="30" borderId="167" xfId="33" applyNumberFormat="1" applyFont="1" applyFill="1" applyBorder="1" applyAlignment="1">
      <alignment horizontal="center" vertical="center" wrapText="1"/>
    </xf>
    <xf numFmtId="0" fontId="32" fillId="26" borderId="84" xfId="33" applyNumberFormat="1" applyFont="1" applyFill="1" applyBorder="1" applyAlignment="1">
      <alignment horizontal="center" vertical="center" wrapText="1"/>
    </xf>
    <xf numFmtId="0" fontId="32" fillId="26" borderId="262" xfId="33" applyNumberFormat="1" applyFont="1" applyFill="1" applyBorder="1" applyAlignment="1">
      <alignment horizontal="center" vertical="center" wrapText="1"/>
    </xf>
    <xf numFmtId="180" fontId="32" fillId="0" borderId="141" xfId="33" applyNumberFormat="1" applyFont="1" applyBorder="1" applyAlignment="1">
      <alignment horizontal="center" vertical="center" wrapText="1"/>
    </xf>
    <xf numFmtId="180" fontId="32" fillId="0" borderId="117" xfId="33" applyNumberFormat="1" applyFont="1" applyBorder="1" applyAlignment="1">
      <alignment horizontal="center" vertical="center" wrapText="1"/>
    </xf>
    <xf numFmtId="180" fontId="32" fillId="0" borderId="31" xfId="33" applyNumberFormat="1" applyFont="1" applyBorder="1" applyAlignment="1">
      <alignment horizontal="center" vertical="center" wrapText="1"/>
    </xf>
    <xf numFmtId="180" fontId="31" fillId="0" borderId="59" xfId="33" applyNumberFormat="1" applyFont="1" applyBorder="1" applyAlignment="1">
      <alignment horizontal="center" vertical="center" wrapText="1"/>
    </xf>
    <xf numFmtId="180" fontId="31" fillId="0" borderId="142" xfId="33" applyNumberFormat="1" applyFont="1" applyBorder="1" applyAlignment="1">
      <alignment horizontal="center" vertical="center" wrapText="1"/>
    </xf>
    <xf numFmtId="180" fontId="31" fillId="0" borderId="272" xfId="33" applyNumberFormat="1" applyFont="1" applyBorder="1" applyAlignment="1">
      <alignment horizontal="center" vertical="center" wrapText="1"/>
    </xf>
    <xf numFmtId="180" fontId="32" fillId="0" borderId="112" xfId="33" applyNumberFormat="1" applyFont="1" applyFill="1" applyBorder="1" applyAlignment="1">
      <alignment horizontal="center" vertical="center" wrapText="1"/>
    </xf>
    <xf numFmtId="180" fontId="32" fillId="0" borderId="48" xfId="33" applyNumberFormat="1" applyFont="1" applyFill="1" applyBorder="1" applyAlignment="1">
      <alignment horizontal="center" vertical="center" wrapText="1"/>
    </xf>
    <xf numFmtId="180" fontId="32" fillId="0" borderId="116" xfId="33" applyNumberFormat="1" applyFont="1" applyFill="1" applyBorder="1" applyAlignment="1">
      <alignment horizontal="center" vertical="center" wrapText="1"/>
    </xf>
    <xf numFmtId="180" fontId="32" fillId="0" borderId="25" xfId="33" applyNumberFormat="1" applyFont="1" applyBorder="1" applyAlignment="1">
      <alignment horizontal="center" vertical="center" wrapText="1"/>
    </xf>
    <xf numFmtId="180" fontId="32" fillId="0" borderId="47" xfId="33" applyNumberFormat="1" applyFont="1" applyBorder="1" applyAlignment="1">
      <alignment horizontal="center" vertical="center" wrapText="1"/>
    </xf>
    <xf numFmtId="180" fontId="32" fillId="0" borderId="169" xfId="33" applyNumberFormat="1" applyFont="1" applyBorder="1" applyAlignment="1">
      <alignment horizontal="center" vertical="center" wrapText="1"/>
    </xf>
    <xf numFmtId="0" fontId="44" fillId="0" borderId="224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 vertical="center"/>
    </xf>
    <xf numFmtId="0" fontId="43" fillId="26" borderId="24" xfId="0" applyFont="1" applyFill="1" applyBorder="1" applyAlignment="1">
      <alignment horizontal="center" vertical="center" wrapText="1"/>
    </xf>
    <xf numFmtId="0" fontId="43" fillId="26" borderId="31" xfId="0" applyFont="1" applyFill="1" applyBorder="1" applyAlignment="1">
      <alignment horizontal="center" vertical="center" wrapText="1"/>
    </xf>
    <xf numFmtId="0" fontId="43" fillId="0" borderId="101" xfId="0" applyFont="1" applyFill="1" applyBorder="1" applyAlignment="1">
      <alignment horizontal="left" vertical="center"/>
    </xf>
    <xf numFmtId="0" fontId="43" fillId="0" borderId="24" xfId="0" applyFont="1" applyFill="1" applyBorder="1" applyAlignment="1">
      <alignment horizontal="center" vertical="center"/>
    </xf>
    <xf numFmtId="0" fontId="43" fillId="0" borderId="28" xfId="0" applyFont="1" applyFill="1" applyBorder="1" applyAlignment="1">
      <alignment horizontal="center" vertical="center"/>
    </xf>
    <xf numFmtId="0" fontId="43" fillId="0" borderId="26" xfId="0" applyFont="1" applyFill="1" applyBorder="1" applyAlignment="1">
      <alignment horizontal="center" vertical="center"/>
    </xf>
    <xf numFmtId="0" fontId="47" fillId="0" borderId="180" xfId="0" applyFont="1" applyFill="1" applyBorder="1" applyAlignment="1">
      <alignment horizontal="center" vertical="center"/>
    </xf>
    <xf numFmtId="0" fontId="47" fillId="0" borderId="178" xfId="0" applyFont="1" applyFill="1" applyBorder="1" applyAlignment="1">
      <alignment horizontal="center" vertical="center"/>
    </xf>
    <xf numFmtId="0" fontId="47" fillId="0" borderId="179" xfId="0" applyFont="1" applyFill="1" applyBorder="1" applyAlignment="1">
      <alignment horizontal="center" vertical="center"/>
    </xf>
    <xf numFmtId="0" fontId="47" fillId="0" borderId="177" xfId="0" applyFont="1" applyFill="1" applyBorder="1" applyAlignment="1">
      <alignment horizontal="center" vertical="center"/>
    </xf>
    <xf numFmtId="0" fontId="47" fillId="0" borderId="56" xfId="0" applyFont="1" applyFill="1" applyBorder="1" applyAlignment="1">
      <alignment horizontal="center" vertical="center"/>
    </xf>
    <xf numFmtId="0" fontId="47" fillId="0" borderId="30" xfId="0" applyFont="1" applyFill="1" applyBorder="1" applyAlignment="1">
      <alignment horizontal="center" vertical="center"/>
    </xf>
    <xf numFmtId="0" fontId="43" fillId="26" borderId="171" xfId="0" applyFont="1" applyFill="1" applyBorder="1" applyAlignment="1">
      <alignment horizontal="center" vertical="center"/>
    </xf>
    <xf numFmtId="0" fontId="43" fillId="26" borderId="172" xfId="0" applyFont="1" applyFill="1" applyBorder="1" applyAlignment="1">
      <alignment horizontal="center" vertical="center"/>
    </xf>
    <xf numFmtId="0" fontId="43" fillId="31" borderId="24" xfId="0" applyFont="1" applyFill="1" applyBorder="1" applyAlignment="1">
      <alignment horizontal="center" vertical="center" wrapText="1"/>
    </xf>
    <xf numFmtId="0" fontId="43" fillId="31" borderId="31" xfId="0" applyFont="1" applyFill="1" applyBorder="1" applyAlignment="1">
      <alignment horizontal="center" vertical="center" wrapText="1"/>
    </xf>
    <xf numFmtId="0" fontId="43" fillId="26" borderId="40" xfId="0" applyFont="1" applyFill="1" applyBorder="1" applyAlignment="1">
      <alignment horizontal="center" vertical="center"/>
    </xf>
    <xf numFmtId="0" fontId="43" fillId="26" borderId="41" xfId="0" applyFont="1" applyFill="1" applyBorder="1" applyAlignment="1">
      <alignment horizontal="center" vertical="center"/>
    </xf>
    <xf numFmtId="0" fontId="43" fillId="26" borderId="175" xfId="0" applyFont="1" applyFill="1" applyBorder="1" applyAlignment="1">
      <alignment horizontal="center" vertical="center"/>
    </xf>
    <xf numFmtId="0" fontId="43" fillId="26" borderId="176" xfId="0" applyFont="1" applyFill="1" applyBorder="1" applyAlignment="1">
      <alignment horizontal="center" vertical="center"/>
    </xf>
    <xf numFmtId="0" fontId="43" fillId="0" borderId="24" xfId="0" applyFont="1" applyFill="1" applyBorder="1" applyAlignment="1">
      <alignment horizontal="center" vertical="center" wrapText="1"/>
    </xf>
    <xf numFmtId="0" fontId="42" fillId="0" borderId="28" xfId="0" applyFont="1" applyBorder="1">
      <alignment vertical="center"/>
    </xf>
    <xf numFmtId="0" fontId="42" fillId="0" borderId="26" xfId="0" applyFont="1" applyBorder="1">
      <alignment vertical="center"/>
    </xf>
    <xf numFmtId="0" fontId="47" fillId="0" borderId="57" xfId="0" applyFont="1" applyFill="1" applyBorder="1" applyAlignment="1">
      <alignment horizontal="center" vertical="center" wrapText="1"/>
    </xf>
    <xf numFmtId="0" fontId="47" fillId="0" borderId="26" xfId="0" applyFont="1" applyFill="1" applyBorder="1" applyAlignment="1">
      <alignment horizontal="center" vertical="center" wrapText="1"/>
    </xf>
    <xf numFmtId="0" fontId="42" fillId="0" borderId="64" xfId="0" applyFont="1" applyBorder="1" applyAlignment="1">
      <alignment vertical="center" wrapText="1"/>
    </xf>
    <xf numFmtId="0" fontId="47" fillId="0" borderId="29" xfId="0" applyFont="1" applyFill="1" applyBorder="1" applyAlignment="1">
      <alignment horizontal="center" vertical="center" wrapText="1"/>
    </xf>
    <xf numFmtId="180" fontId="43" fillId="0" borderId="59" xfId="33" applyNumberFormat="1" applyFont="1" applyFill="1" applyBorder="1" applyAlignment="1">
      <alignment horizontal="center" vertical="center"/>
    </xf>
    <xf numFmtId="180" fontId="43" fillId="0" borderId="142" xfId="33" applyNumberFormat="1" applyFont="1" applyFill="1" applyBorder="1" applyAlignment="1">
      <alignment horizontal="center" vertical="center"/>
    </xf>
    <xf numFmtId="0" fontId="47" fillId="0" borderId="28" xfId="0" applyFont="1" applyFill="1" applyBorder="1" applyAlignment="1">
      <alignment horizontal="center" vertical="center" wrapText="1"/>
    </xf>
    <xf numFmtId="0" fontId="47" fillId="0" borderId="57" xfId="0" applyFont="1" applyFill="1" applyBorder="1" applyAlignment="1">
      <alignment horizontal="center" vertical="center"/>
    </xf>
    <xf numFmtId="0" fontId="47" fillId="0" borderId="26" xfId="0" applyFont="1" applyFill="1" applyBorder="1" applyAlignment="1">
      <alignment horizontal="center" vertical="center"/>
    </xf>
    <xf numFmtId="0" fontId="43" fillId="0" borderId="57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0" fontId="43" fillId="0" borderId="31" xfId="0" applyFont="1" applyFill="1" applyBorder="1" applyAlignment="1">
      <alignment horizontal="center" vertical="center" wrapText="1"/>
    </xf>
    <xf numFmtId="0" fontId="43" fillId="0" borderId="57" xfId="0" applyFont="1" applyFill="1" applyBorder="1" applyAlignment="1">
      <alignment horizontal="center" vertical="center"/>
    </xf>
    <xf numFmtId="0" fontId="43" fillId="0" borderId="31" xfId="0" applyFont="1" applyFill="1" applyBorder="1" applyAlignment="1">
      <alignment horizontal="center" vertical="center"/>
    </xf>
    <xf numFmtId="0" fontId="29" fillId="26" borderId="25" xfId="0" applyFont="1" applyFill="1" applyBorder="1" applyAlignment="1">
      <alignment horizontal="center" vertical="center" wrapText="1"/>
    </xf>
    <xf numFmtId="41" fontId="29" fillId="24" borderId="25" xfId="33" applyFont="1" applyFill="1" applyBorder="1" applyAlignment="1">
      <alignment horizontal="center" vertical="center"/>
    </xf>
    <xf numFmtId="0" fontId="29" fillId="0" borderId="0" xfId="0" applyFont="1" applyFill="1" applyAlignment="1">
      <alignment vertical="center" wrapText="1"/>
    </xf>
    <xf numFmtId="0" fontId="29" fillId="0" borderId="24" xfId="0" applyFont="1" applyFill="1" applyBorder="1" applyAlignment="1">
      <alignment horizontal="center" vertical="center" wrapText="1"/>
    </xf>
    <xf numFmtId="0" fontId="29" fillId="0" borderId="28" xfId="0" applyFont="1" applyFill="1" applyBorder="1" applyAlignment="1">
      <alignment horizontal="center" vertical="center" wrapText="1"/>
    </xf>
    <xf numFmtId="0" fontId="29" fillId="0" borderId="31" xfId="0" applyFont="1" applyFill="1" applyBorder="1" applyAlignment="1">
      <alignment horizontal="center" vertical="center" wrapText="1"/>
    </xf>
    <xf numFmtId="193" fontId="29" fillId="26" borderId="24" xfId="0" applyNumberFormat="1" applyFont="1" applyFill="1" applyBorder="1" applyAlignment="1">
      <alignment horizontal="center" vertical="center"/>
    </xf>
    <xf numFmtId="193" fontId="29" fillId="26" borderId="31" xfId="0" applyNumberFormat="1" applyFont="1" applyFill="1" applyBorder="1" applyAlignment="1">
      <alignment horizontal="center" vertical="center"/>
    </xf>
    <xf numFmtId="0" fontId="29" fillId="26" borderId="24" xfId="0" applyFont="1" applyFill="1" applyBorder="1" applyAlignment="1">
      <alignment horizontal="center" vertical="center"/>
    </xf>
    <xf numFmtId="0" fontId="29" fillId="26" borderId="31" xfId="0" applyFont="1" applyFill="1" applyBorder="1" applyAlignment="1">
      <alignment horizontal="center" vertical="center"/>
    </xf>
    <xf numFmtId="192" fontId="29" fillId="24" borderId="24" xfId="0" applyNumberFormat="1" applyFont="1" applyFill="1" applyBorder="1" applyAlignment="1">
      <alignment horizontal="center" vertical="center"/>
    </xf>
    <xf numFmtId="192" fontId="29" fillId="24" borderId="28" xfId="0" applyNumberFormat="1" applyFont="1" applyFill="1" applyBorder="1" applyAlignment="1">
      <alignment horizontal="center" vertical="center"/>
    </xf>
    <xf numFmtId="0" fontId="29" fillId="0" borderId="24" xfId="0" applyFont="1" applyFill="1" applyBorder="1" applyAlignment="1">
      <alignment horizontal="center" vertical="center"/>
    </xf>
    <xf numFmtId="0" fontId="29" fillId="0" borderId="31" xfId="0" applyFont="1" applyFill="1" applyBorder="1" applyAlignment="1">
      <alignment horizontal="center" vertical="center"/>
    </xf>
    <xf numFmtId="0" fontId="32" fillId="0" borderId="185" xfId="48" applyFont="1" applyFill="1" applyBorder="1" applyAlignment="1">
      <alignment horizontal="center" vertical="center" wrapText="1"/>
    </xf>
    <xf numFmtId="0" fontId="32" fillId="0" borderId="186" xfId="48" applyFont="1" applyFill="1" applyBorder="1" applyAlignment="1">
      <alignment horizontal="center" vertical="center" wrapText="1"/>
    </xf>
    <xf numFmtId="49" fontId="31" fillId="0" borderId="125" xfId="48" applyNumberFormat="1" applyFont="1" applyFill="1" applyBorder="1" applyAlignment="1">
      <alignment horizontal="center" vertical="center" wrapText="1"/>
    </xf>
    <xf numFmtId="49" fontId="31" fillId="0" borderId="31" xfId="48" applyNumberFormat="1" applyFont="1" applyFill="1" applyBorder="1" applyAlignment="1">
      <alignment horizontal="center" vertical="center" wrapText="1"/>
    </xf>
    <xf numFmtId="177" fontId="31" fillId="0" borderId="125" xfId="48" applyNumberFormat="1" applyFont="1" applyBorder="1" applyAlignment="1">
      <alignment horizontal="center" vertical="center" wrapText="1"/>
    </xf>
    <xf numFmtId="177" fontId="31" fillId="0" borderId="31" xfId="48" applyNumberFormat="1" applyFont="1" applyBorder="1" applyAlignment="1">
      <alignment horizontal="center" vertical="center" wrapText="1"/>
    </xf>
    <xf numFmtId="0" fontId="31" fillId="0" borderId="125" xfId="48" applyFont="1" applyFill="1" applyBorder="1" applyAlignment="1">
      <alignment horizontal="center" vertical="center" wrapText="1"/>
    </xf>
    <xf numFmtId="0" fontId="31" fillId="0" borderId="31" xfId="48" applyFont="1" applyFill="1" applyBorder="1" applyAlignment="1">
      <alignment horizontal="center" vertical="center" wrapText="1"/>
    </xf>
    <xf numFmtId="0" fontId="28" fillId="0" borderId="126" xfId="48" applyFont="1" applyBorder="1" applyAlignment="1">
      <alignment horizontal="center" vertical="center" wrapText="1"/>
    </xf>
    <xf numFmtId="0" fontId="28" fillId="0" borderId="181" xfId="48" applyFont="1" applyBorder="1" applyAlignment="1">
      <alignment horizontal="center" vertical="center" wrapText="1"/>
    </xf>
    <xf numFmtId="177" fontId="29" fillId="0" borderId="154" xfId="48" applyNumberFormat="1" applyFont="1" applyBorder="1" applyAlignment="1">
      <alignment horizontal="center" vertical="center" wrapText="1"/>
    </xf>
    <xf numFmtId="177" fontId="29" fillId="0" borderId="121" xfId="48" applyNumberFormat="1" applyFont="1" applyBorder="1" applyAlignment="1">
      <alignment horizontal="center" vertical="center" wrapText="1"/>
    </xf>
    <xf numFmtId="0" fontId="43" fillId="0" borderId="0" xfId="33" applyNumberFormat="1" applyFont="1" applyFill="1" applyBorder="1" applyAlignment="1">
      <alignment horizontal="center" vertical="center"/>
    </xf>
    <xf numFmtId="0" fontId="31" fillId="0" borderId="122" xfId="48" applyFont="1" applyFill="1" applyBorder="1" applyAlignment="1">
      <alignment horizontal="center" vertical="center" wrapText="1"/>
    </xf>
    <xf numFmtId="0" fontId="31" fillId="0" borderId="62" xfId="48" applyFont="1" applyFill="1" applyBorder="1" applyAlignment="1">
      <alignment horizontal="center" vertical="center" wrapText="1"/>
    </xf>
    <xf numFmtId="0" fontId="31" fillId="0" borderId="104" xfId="48" applyFont="1" applyFill="1" applyBorder="1" applyAlignment="1">
      <alignment horizontal="center" vertical="center" wrapText="1"/>
    </xf>
    <xf numFmtId="0" fontId="31" fillId="0" borderId="25" xfId="48" applyFont="1" applyFill="1" applyBorder="1" applyAlignment="1">
      <alignment horizontal="center" vertical="center" wrapText="1"/>
    </xf>
    <xf numFmtId="49" fontId="31" fillId="0" borderId="139" xfId="48" applyNumberFormat="1" applyFont="1" applyFill="1" applyBorder="1" applyAlignment="1">
      <alignment horizontal="center" vertical="center" wrapText="1"/>
    </xf>
    <xf numFmtId="49" fontId="31" fillId="0" borderId="106" xfId="48" applyNumberFormat="1" applyFont="1" applyFill="1" applyBorder="1" applyAlignment="1">
      <alignment horizontal="center" vertical="center" wrapText="1"/>
    </xf>
    <xf numFmtId="0" fontId="31" fillId="0" borderId="185" xfId="48" applyFont="1" applyFill="1" applyBorder="1" applyAlignment="1">
      <alignment horizontal="center" vertical="center" wrapText="1"/>
    </xf>
    <xf numFmtId="0" fontId="31" fillId="0" borderId="186" xfId="48" applyFont="1" applyFill="1" applyBorder="1" applyAlignment="1">
      <alignment horizontal="center" vertical="center" wrapText="1"/>
    </xf>
    <xf numFmtId="0" fontId="43" fillId="0" borderId="59" xfId="33" applyNumberFormat="1" applyFont="1" applyFill="1" applyBorder="1" applyAlignment="1">
      <alignment horizontal="center" vertical="center"/>
    </xf>
    <xf numFmtId="0" fontId="43" fillId="0" borderId="142" xfId="33" applyNumberFormat="1" applyFont="1" applyFill="1" applyBorder="1" applyAlignment="1">
      <alignment horizontal="center" vertical="center"/>
    </xf>
    <xf numFmtId="0" fontId="43" fillId="24" borderId="142" xfId="33" applyNumberFormat="1" applyFont="1" applyFill="1" applyBorder="1" applyAlignment="1">
      <alignment horizontal="center" vertical="center"/>
    </xf>
    <xf numFmtId="0" fontId="43" fillId="24" borderId="109" xfId="33" applyNumberFormat="1" applyFont="1" applyFill="1" applyBorder="1" applyAlignment="1">
      <alignment horizontal="center" vertical="center"/>
    </xf>
    <xf numFmtId="0" fontId="31" fillId="0" borderId="144" xfId="48" applyFont="1" applyFill="1" applyBorder="1" applyAlignment="1">
      <alignment horizontal="center" vertical="center" wrapText="1"/>
    </xf>
    <xf numFmtId="49" fontId="31" fillId="0" borderId="182" xfId="48" applyNumberFormat="1" applyFont="1" applyFill="1" applyBorder="1" applyAlignment="1">
      <alignment horizontal="center" vertical="center" wrapText="1"/>
    </xf>
    <xf numFmtId="49" fontId="31" fillId="0" borderId="184" xfId="48" applyNumberFormat="1" applyFont="1" applyFill="1" applyBorder="1" applyAlignment="1">
      <alignment horizontal="center" vertical="center" wrapText="1"/>
    </xf>
    <xf numFmtId="0" fontId="32" fillId="0" borderId="144" xfId="48" applyFont="1" applyFill="1" applyBorder="1" applyAlignment="1">
      <alignment horizontal="center" vertical="center" wrapText="1"/>
    </xf>
    <xf numFmtId="49" fontId="29" fillId="0" borderId="0" xfId="48" applyNumberFormat="1" applyFont="1" applyBorder="1" applyAlignment="1">
      <alignment horizontal="left" vertical="center" wrapText="1"/>
    </xf>
    <xf numFmtId="0" fontId="28" fillId="0" borderId="0" xfId="48" applyFont="1" applyFill="1" applyBorder="1" applyAlignment="1">
      <alignment horizontal="left" vertical="center"/>
    </xf>
    <xf numFmtId="49" fontId="31" fillId="0" borderId="183" xfId="48" applyNumberFormat="1" applyFont="1" applyFill="1" applyBorder="1" applyAlignment="1">
      <alignment horizontal="center" vertical="center" wrapText="1"/>
    </xf>
    <xf numFmtId="0" fontId="28" fillId="0" borderId="185" xfId="48" applyFont="1" applyFill="1" applyBorder="1" applyAlignment="1">
      <alignment horizontal="center" vertical="center" wrapText="1"/>
    </xf>
    <xf numFmtId="0" fontId="28" fillId="0" borderId="186" xfId="48" applyFont="1" applyFill="1" applyBorder="1" applyAlignment="1">
      <alignment horizontal="center" vertical="center" wrapText="1"/>
    </xf>
    <xf numFmtId="0" fontId="28" fillId="0" borderId="144" xfId="48" applyFont="1" applyFill="1" applyBorder="1" applyAlignment="1">
      <alignment horizontal="center" vertical="center" wrapText="1"/>
    </xf>
    <xf numFmtId="177" fontId="28" fillId="0" borderId="125" xfId="48" applyNumberFormat="1" applyFont="1" applyBorder="1" applyAlignment="1">
      <alignment horizontal="center" vertical="center" wrapText="1"/>
    </xf>
    <xf numFmtId="177" fontId="28" fillId="0" borderId="31" xfId="48" applyNumberFormat="1" applyFont="1" applyBorder="1" applyAlignment="1">
      <alignment horizontal="center" vertical="center" wrapText="1"/>
    </xf>
    <xf numFmtId="49" fontId="28" fillId="0" borderId="182" xfId="48" applyNumberFormat="1" applyFont="1" applyFill="1" applyBorder="1" applyAlignment="1">
      <alignment horizontal="center" vertical="center" wrapText="1"/>
    </xf>
    <xf numFmtId="49" fontId="28" fillId="0" borderId="184" xfId="48" applyNumberFormat="1" applyFont="1" applyFill="1" applyBorder="1" applyAlignment="1">
      <alignment horizontal="center" vertical="center" wrapText="1"/>
    </xf>
    <xf numFmtId="0" fontId="28" fillId="0" borderId="122" xfId="48" applyFont="1" applyFill="1" applyBorder="1" applyAlignment="1">
      <alignment horizontal="center" vertical="center" wrapText="1"/>
    </xf>
    <xf numFmtId="0" fontId="28" fillId="0" borderId="62" xfId="48" applyFont="1" applyFill="1" applyBorder="1" applyAlignment="1">
      <alignment horizontal="center" vertical="center" wrapText="1"/>
    </xf>
    <xf numFmtId="0" fontId="28" fillId="0" borderId="104" xfId="48" applyFont="1" applyFill="1" applyBorder="1" applyAlignment="1">
      <alignment horizontal="center" vertical="center" wrapText="1"/>
    </xf>
    <xf numFmtId="0" fontId="28" fillId="0" borderId="25" xfId="48" applyFont="1" applyFill="1" applyBorder="1" applyAlignment="1">
      <alignment horizontal="center" vertical="center" wrapText="1"/>
    </xf>
    <xf numFmtId="0" fontId="28" fillId="0" borderId="125" xfId="48" applyFont="1" applyFill="1" applyBorder="1" applyAlignment="1">
      <alignment horizontal="center" vertical="center" wrapText="1"/>
    </xf>
    <xf numFmtId="0" fontId="28" fillId="0" borderId="31" xfId="48" applyFont="1" applyFill="1" applyBorder="1" applyAlignment="1">
      <alignment horizontal="center" vertical="center" wrapText="1"/>
    </xf>
    <xf numFmtId="0" fontId="43" fillId="24" borderId="186" xfId="33" applyNumberFormat="1" applyFont="1" applyFill="1" applyBorder="1" applyAlignment="1">
      <alignment horizontal="center" vertical="center"/>
    </xf>
    <xf numFmtId="0" fontId="43" fillId="24" borderId="144" xfId="33" applyNumberFormat="1" applyFont="1" applyFill="1" applyBorder="1" applyAlignment="1">
      <alignment horizontal="center" vertical="center"/>
    </xf>
    <xf numFmtId="0" fontId="43" fillId="0" borderId="236" xfId="33" applyNumberFormat="1" applyFont="1" applyFill="1" applyBorder="1" applyAlignment="1">
      <alignment horizontal="center" vertical="center"/>
    </xf>
    <xf numFmtId="0" fontId="43" fillId="0" borderId="186" xfId="33" applyNumberFormat="1" applyFont="1" applyFill="1" applyBorder="1" applyAlignment="1">
      <alignment horizontal="center" vertical="center"/>
    </xf>
    <xf numFmtId="0" fontId="29" fillId="24" borderId="59" xfId="48" applyFont="1" applyFill="1" applyBorder="1" applyAlignment="1">
      <alignment horizontal="center" vertical="center" wrapText="1"/>
    </xf>
    <xf numFmtId="0" fontId="29" fillId="24" borderId="109" xfId="48" applyFont="1" applyFill="1" applyBorder="1" applyAlignment="1">
      <alignment horizontal="center" vertical="center" wrapText="1"/>
    </xf>
    <xf numFmtId="0" fontId="57" fillId="0" borderId="59" xfId="0" applyFont="1" applyBorder="1" applyAlignment="1">
      <alignment horizontal="center" vertical="center" wrapText="1"/>
    </xf>
    <xf numFmtId="0" fontId="57" fillId="0" borderId="142" xfId="0" applyFont="1" applyBorder="1" applyAlignment="1">
      <alignment horizontal="center" vertical="center" wrapText="1"/>
    </xf>
    <xf numFmtId="0" fontId="57" fillId="0" borderId="109" xfId="0" applyFont="1" applyBorder="1" applyAlignment="1">
      <alignment horizontal="center" vertical="center" wrapText="1"/>
    </xf>
    <xf numFmtId="49" fontId="29" fillId="0" borderId="0" xfId="48" applyNumberFormat="1" applyFont="1" applyBorder="1" applyAlignment="1">
      <alignment horizontal="left" vertical="center"/>
    </xf>
    <xf numFmtId="0" fontId="28" fillId="0" borderId="24" xfId="0" applyFont="1" applyBorder="1" applyAlignment="1">
      <alignment horizontal="center" vertical="center" wrapText="1"/>
    </xf>
    <xf numFmtId="0" fontId="28" fillId="0" borderId="31" xfId="0" applyFont="1" applyBorder="1" applyAlignment="1">
      <alignment horizontal="center" vertical="center" wrapText="1"/>
    </xf>
    <xf numFmtId="190" fontId="28" fillId="0" borderId="24" xfId="0" applyNumberFormat="1" applyFont="1" applyBorder="1" applyAlignment="1">
      <alignment horizontal="center" vertical="center" wrapText="1"/>
    </xf>
    <xf numFmtId="190" fontId="28" fillId="0" borderId="31" xfId="0" applyNumberFormat="1" applyFont="1" applyBorder="1" applyAlignment="1">
      <alignment horizontal="center" vertical="center" wrapText="1"/>
    </xf>
    <xf numFmtId="0" fontId="28" fillId="0" borderId="59" xfId="0" applyFont="1" applyBorder="1" applyAlignment="1">
      <alignment horizontal="center" vertical="center" wrapText="1"/>
    </xf>
    <xf numFmtId="0" fontId="28" fillId="0" borderId="109" xfId="0" applyFont="1" applyBorder="1" applyAlignment="1">
      <alignment horizontal="center" vertical="center" wrapText="1"/>
    </xf>
    <xf numFmtId="0" fontId="43" fillId="32" borderId="59" xfId="0" applyFont="1" applyFill="1" applyBorder="1" applyAlignment="1">
      <alignment horizontal="center" vertical="center"/>
    </xf>
    <xf numFmtId="0" fontId="43" fillId="32" borderId="109" xfId="0" applyFont="1" applyFill="1" applyBorder="1" applyAlignment="1">
      <alignment horizontal="center" vertical="center"/>
    </xf>
    <xf numFmtId="180" fontId="28" fillId="0" borderId="155" xfId="33" applyNumberFormat="1" applyFont="1" applyBorder="1" applyAlignment="1">
      <alignment horizontal="center" vertical="center" wrapText="1"/>
    </xf>
    <xf numFmtId="180" fontId="28" fillId="0" borderId="209" xfId="33" applyNumberFormat="1" applyFont="1" applyBorder="1" applyAlignment="1">
      <alignment horizontal="center" vertical="center" wrapText="1"/>
    </xf>
    <xf numFmtId="180" fontId="28" fillId="0" borderId="187" xfId="33" applyNumberFormat="1" applyFont="1" applyBorder="1" applyAlignment="1">
      <alignment horizontal="center" vertical="center" wrapText="1"/>
    </xf>
    <xf numFmtId="180" fontId="28" fillId="0" borderId="58" xfId="33" applyNumberFormat="1" applyFont="1" applyBorder="1" applyAlignment="1">
      <alignment horizontal="center" vertical="center" wrapText="1"/>
    </xf>
    <xf numFmtId="0" fontId="46" fillId="0" borderId="59" xfId="0" applyFont="1" applyBorder="1" applyAlignment="1">
      <alignment horizontal="center" vertical="center" wrapText="1"/>
    </xf>
    <xf numFmtId="0" fontId="46" fillId="0" borderId="142" xfId="0" applyFont="1" applyBorder="1" applyAlignment="1">
      <alignment horizontal="center" vertical="center" wrapText="1"/>
    </xf>
    <xf numFmtId="0" fontId="46" fillId="0" borderId="109" xfId="0" applyFont="1" applyBorder="1" applyAlignment="1">
      <alignment horizontal="center" vertical="center" wrapText="1"/>
    </xf>
    <xf numFmtId="0" fontId="55" fillId="0" borderId="0" xfId="0" applyFont="1" applyBorder="1" applyAlignment="1">
      <alignment horizontal="left" vertical="center"/>
    </xf>
    <xf numFmtId="0" fontId="43" fillId="0" borderId="59" xfId="0" applyFont="1" applyBorder="1" applyAlignment="1">
      <alignment horizontal="center" vertical="center"/>
    </xf>
    <xf numFmtId="0" fontId="43" fillId="0" borderId="142" xfId="0" applyFont="1" applyBorder="1" applyAlignment="1">
      <alignment horizontal="center" vertical="center"/>
    </xf>
    <xf numFmtId="0" fontId="43" fillId="0" borderId="142" xfId="0" applyFont="1" applyBorder="1" applyAlignment="1">
      <alignment horizontal="center" vertical="center" wrapText="1"/>
    </xf>
    <xf numFmtId="0" fontId="43" fillId="0" borderId="109" xfId="0" applyFont="1" applyBorder="1" applyAlignment="1">
      <alignment horizontal="center" vertical="center" wrapText="1"/>
    </xf>
    <xf numFmtId="0" fontId="55" fillId="0" borderId="0" xfId="0" applyFont="1" applyBorder="1" applyAlignment="1">
      <alignment horizontal="left" vertical="center" wrapText="1"/>
    </xf>
    <xf numFmtId="0" fontId="57" fillId="0" borderId="59" xfId="0" applyFont="1" applyFill="1" applyBorder="1" applyAlignment="1">
      <alignment horizontal="center" vertical="center" wrapText="1"/>
    </xf>
    <xf numFmtId="0" fontId="57" fillId="0" borderId="142" xfId="0" applyFont="1" applyFill="1" applyBorder="1" applyAlignment="1">
      <alignment horizontal="center" vertical="center" wrapText="1"/>
    </xf>
    <xf numFmtId="0" fontId="57" fillId="0" borderId="109" xfId="0" applyFont="1" applyFill="1" applyBorder="1" applyAlignment="1">
      <alignment horizontal="center" vertical="center" wrapText="1"/>
    </xf>
    <xf numFmtId="207" fontId="43" fillId="32" borderId="59" xfId="0" applyNumberFormat="1" applyFont="1" applyFill="1" applyBorder="1" applyAlignment="1">
      <alignment horizontal="center" vertical="center" wrapText="1"/>
    </xf>
    <xf numFmtId="207" fontId="43" fillId="32" borderId="109" xfId="0" applyNumberFormat="1" applyFont="1" applyFill="1" applyBorder="1" applyAlignment="1">
      <alignment horizontal="center" vertical="center" wrapText="1"/>
    </xf>
    <xf numFmtId="0" fontId="43" fillId="0" borderId="185" xfId="0" applyFont="1" applyFill="1" applyBorder="1" applyAlignment="1">
      <alignment horizontal="center" vertical="center"/>
    </xf>
    <xf numFmtId="0" fontId="43" fillId="0" borderId="186" xfId="0" applyFont="1" applyFill="1" applyBorder="1" applyAlignment="1">
      <alignment horizontal="center" vertical="center"/>
    </xf>
    <xf numFmtId="0" fontId="43" fillId="0" borderId="144" xfId="0" applyFont="1" applyFill="1" applyBorder="1" applyAlignment="1">
      <alignment horizontal="center" vertical="center"/>
    </xf>
    <xf numFmtId="0" fontId="62" fillId="0" borderId="197" xfId="0" applyFont="1" applyFill="1" applyBorder="1" applyAlignment="1">
      <alignment horizontal="left" vertical="center" wrapText="1"/>
    </xf>
    <xf numFmtId="0" fontId="62" fillId="0" borderId="106" xfId="0" applyFont="1" applyFill="1" applyBorder="1" applyAlignment="1">
      <alignment horizontal="left" vertical="center" wrapText="1"/>
    </xf>
    <xf numFmtId="0" fontId="62" fillId="0" borderId="145" xfId="0" applyFont="1" applyFill="1" applyBorder="1" applyAlignment="1">
      <alignment horizontal="left" vertical="center" wrapText="1"/>
    </xf>
    <xf numFmtId="0" fontId="62" fillId="0" borderId="69" xfId="0" applyFont="1" applyFill="1" applyBorder="1" applyAlignment="1">
      <alignment horizontal="left" vertical="center" wrapText="1"/>
    </xf>
    <xf numFmtId="0" fontId="62" fillId="0" borderId="142" xfId="0" applyFont="1" applyFill="1" applyBorder="1" applyAlignment="1">
      <alignment horizontal="left" vertical="center" wrapText="1"/>
    </xf>
    <xf numFmtId="0" fontId="62" fillId="0" borderId="228" xfId="0" applyFont="1" applyFill="1" applyBorder="1" applyAlignment="1">
      <alignment horizontal="left" vertical="center" wrapText="1"/>
    </xf>
    <xf numFmtId="0" fontId="43" fillId="0" borderId="104" xfId="0" applyFont="1" applyFill="1" applyBorder="1" applyAlignment="1">
      <alignment horizontal="center" vertical="center"/>
    </xf>
    <xf numFmtId="0" fontId="63" fillId="32" borderId="230" xfId="0" applyFont="1" applyFill="1" applyBorder="1" applyAlignment="1">
      <alignment horizontal="center" vertical="center" wrapText="1"/>
    </xf>
    <xf numFmtId="0" fontId="63" fillId="32" borderId="231" xfId="0" applyFont="1" applyFill="1" applyBorder="1" applyAlignment="1">
      <alignment horizontal="center" vertical="center" wrapText="1"/>
    </xf>
    <xf numFmtId="0" fontId="63" fillId="32" borderId="61" xfId="0" applyFont="1" applyFill="1" applyBorder="1" applyAlignment="1">
      <alignment horizontal="center" vertical="center" wrapText="1"/>
    </xf>
    <xf numFmtId="14" fontId="63" fillId="32" borderId="25" xfId="0" applyNumberFormat="1" applyFont="1" applyFill="1" applyBorder="1" applyAlignment="1">
      <alignment horizontal="center" vertical="center" wrapText="1"/>
    </xf>
    <xf numFmtId="0" fontId="63" fillId="31" borderId="25" xfId="0" applyFont="1" applyFill="1" applyBorder="1" applyAlignment="1">
      <alignment horizontal="center" vertical="center" wrapText="1"/>
    </xf>
    <xf numFmtId="0" fontId="43" fillId="0" borderId="126" xfId="0" applyFont="1" applyFill="1" applyBorder="1" applyAlignment="1">
      <alignment horizontal="center" vertical="center" wrapText="1"/>
    </xf>
    <xf numFmtId="0" fontId="43" fillId="0" borderId="181" xfId="0" applyFont="1" applyFill="1" applyBorder="1" applyAlignment="1">
      <alignment horizontal="center" vertical="center"/>
    </xf>
    <xf numFmtId="0" fontId="43" fillId="0" borderId="122" xfId="0" applyFont="1" applyFill="1" applyBorder="1" applyAlignment="1">
      <alignment horizontal="center" vertical="center"/>
    </xf>
    <xf numFmtId="0" fontId="43" fillId="0" borderId="62" xfId="0" applyFont="1" applyFill="1" applyBorder="1" applyAlignment="1">
      <alignment horizontal="center" vertical="center"/>
    </xf>
    <xf numFmtId="0" fontId="43" fillId="0" borderId="25" xfId="0" applyFont="1" applyFill="1" applyBorder="1" applyAlignment="1">
      <alignment horizontal="center" vertical="center"/>
    </xf>
    <xf numFmtId="0" fontId="46" fillId="26" borderId="131" xfId="0" applyFont="1" applyFill="1" applyBorder="1" applyAlignment="1">
      <alignment horizontal="center" vertical="center"/>
    </xf>
    <xf numFmtId="0" fontId="46" fillId="26" borderId="194" xfId="0" applyFont="1" applyFill="1" applyBorder="1" applyAlignment="1">
      <alignment horizontal="center" vertical="center"/>
    </xf>
    <xf numFmtId="0" fontId="46" fillId="0" borderId="69" xfId="0" applyFont="1" applyBorder="1" applyAlignment="1">
      <alignment horizontal="center" vertical="center" wrapText="1"/>
    </xf>
    <xf numFmtId="0" fontId="46" fillId="0" borderId="185" xfId="0" applyFont="1" applyBorder="1" applyAlignment="1">
      <alignment horizontal="center" vertical="center" wrapText="1"/>
    </xf>
    <xf numFmtId="0" fontId="46" fillId="0" borderId="195" xfId="0" applyFont="1" applyBorder="1" applyAlignment="1">
      <alignment horizontal="center" vertical="center" wrapText="1"/>
    </xf>
    <xf numFmtId="0" fontId="46" fillId="0" borderId="196" xfId="0" applyFont="1" applyBorder="1" applyAlignment="1">
      <alignment horizontal="center" vertical="center" wrapText="1"/>
    </xf>
    <xf numFmtId="0" fontId="46" fillId="0" borderId="238" xfId="0" applyFont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 wrapText="1"/>
    </xf>
    <xf numFmtId="0" fontId="46" fillId="0" borderId="28" xfId="0" applyFont="1" applyBorder="1" applyAlignment="1">
      <alignment horizontal="center" vertical="center" wrapText="1"/>
    </xf>
    <xf numFmtId="0" fontId="46" fillId="0" borderId="146" xfId="0" applyFont="1" applyBorder="1" applyAlignment="1">
      <alignment horizontal="center" vertical="center" wrapText="1"/>
    </xf>
    <xf numFmtId="0" fontId="57" fillId="26" borderId="189" xfId="0" applyFont="1" applyFill="1" applyBorder="1" applyAlignment="1">
      <alignment horizontal="center" vertical="center" wrapText="1"/>
    </xf>
    <xf numFmtId="0" fontId="57" fillId="26" borderId="160" xfId="0" applyFont="1" applyFill="1" applyBorder="1" applyAlignment="1">
      <alignment horizontal="center" vertical="center" wrapText="1"/>
    </xf>
    <xf numFmtId="177" fontId="57" fillId="0" borderId="190" xfId="0" applyNumberFormat="1" applyFont="1" applyBorder="1" applyAlignment="1">
      <alignment horizontal="center" vertical="center"/>
    </xf>
    <xf numFmtId="177" fontId="57" fillId="0" borderId="191" xfId="0" applyNumberFormat="1" applyFont="1" applyBorder="1" applyAlignment="1">
      <alignment horizontal="center" vertical="center"/>
    </xf>
    <xf numFmtId="177" fontId="57" fillId="0" borderId="192" xfId="0" applyNumberFormat="1" applyFont="1" applyBorder="1" applyAlignment="1">
      <alignment horizontal="center" vertical="center"/>
    </xf>
    <xf numFmtId="177" fontId="57" fillId="0" borderId="240" xfId="0" applyNumberFormat="1" applyFont="1" applyBorder="1" applyAlignment="1">
      <alignment horizontal="center" vertical="center"/>
    </xf>
    <xf numFmtId="9" fontId="46" fillId="26" borderId="125" xfId="29" applyFont="1" applyFill="1" applyBorder="1" applyAlignment="1">
      <alignment horizontal="center" vertical="center"/>
    </xf>
    <xf numFmtId="9" fontId="46" fillId="26" borderId="31" xfId="29" applyFont="1" applyFill="1" applyBorder="1" applyAlignment="1">
      <alignment horizontal="center" vertical="center"/>
    </xf>
    <xf numFmtId="0" fontId="46" fillId="26" borderId="125" xfId="0" applyFont="1" applyFill="1" applyBorder="1" applyAlignment="1">
      <alignment horizontal="center" vertical="center"/>
    </xf>
    <xf numFmtId="0" fontId="46" fillId="26" borderId="31" xfId="0" applyFont="1" applyFill="1" applyBorder="1" applyAlignment="1">
      <alignment horizontal="center" vertical="center"/>
    </xf>
    <xf numFmtId="0" fontId="46" fillId="26" borderId="182" xfId="0" applyFont="1" applyFill="1" applyBorder="1" applyAlignment="1">
      <alignment horizontal="center" vertical="center"/>
    </xf>
    <xf numFmtId="0" fontId="46" fillId="26" borderId="187" xfId="0" applyFont="1" applyFill="1" applyBorder="1" applyAlignment="1">
      <alignment horizontal="center" vertical="center"/>
    </xf>
    <xf numFmtId="0" fontId="46" fillId="0" borderId="31" xfId="0" applyFont="1" applyBorder="1" applyAlignment="1">
      <alignment horizontal="center" vertical="center" wrapText="1"/>
    </xf>
    <xf numFmtId="0" fontId="31" fillId="0" borderId="123" xfId="48" applyFont="1" applyBorder="1" applyAlignment="1">
      <alignment horizontal="center" vertical="center" wrapText="1"/>
    </xf>
    <xf numFmtId="0" fontId="32" fillId="0" borderId="63" xfId="48" applyFont="1" applyBorder="1" applyAlignment="1">
      <alignment horizontal="center" vertical="center" wrapText="1"/>
    </xf>
    <xf numFmtId="0" fontId="31" fillId="0" borderId="139" xfId="48" applyFont="1" applyFill="1" applyBorder="1" applyAlignment="1">
      <alignment horizontal="center" vertical="center" wrapText="1"/>
    </xf>
    <xf numFmtId="0" fontId="31" fillId="0" borderId="140" xfId="48" applyFont="1" applyFill="1" applyBorder="1" applyAlignment="1">
      <alignment horizontal="center" vertical="center" wrapText="1"/>
    </xf>
    <xf numFmtId="41" fontId="31" fillId="0" borderId="125" xfId="33" applyFont="1" applyFill="1" applyBorder="1" applyAlignment="1">
      <alignment horizontal="center" vertical="center" wrapText="1"/>
    </xf>
    <xf numFmtId="41" fontId="31" fillId="0" borderId="31" xfId="33" applyFont="1" applyFill="1" applyBorder="1" applyAlignment="1">
      <alignment horizontal="center" vertical="center" wrapText="1"/>
    </xf>
    <xf numFmtId="0" fontId="31" fillId="0" borderId="104" xfId="48" applyFont="1" applyBorder="1" applyAlignment="1">
      <alignment horizontal="center" vertical="center" wrapText="1"/>
    </xf>
    <xf numFmtId="0" fontId="31" fillId="0" borderId="25" xfId="48" applyFont="1" applyBorder="1" applyAlignment="1">
      <alignment horizontal="center" vertical="center" wrapText="1"/>
    </xf>
    <xf numFmtId="0" fontId="55" fillId="0" borderId="0" xfId="33" applyNumberFormat="1" applyFont="1" applyFill="1" applyBorder="1" applyAlignment="1">
      <alignment horizontal="center" vertical="center" wrapText="1"/>
    </xf>
    <xf numFmtId="0" fontId="31" fillId="0" borderId="197" xfId="48" applyFont="1" applyFill="1" applyBorder="1" applyAlignment="1">
      <alignment horizontal="center" vertical="center" wrapText="1"/>
    </xf>
    <xf numFmtId="0" fontId="31" fillId="0" borderId="106" xfId="48" applyFont="1" applyFill="1" applyBorder="1" applyAlignment="1">
      <alignment horizontal="center" vertical="center" wrapText="1"/>
    </xf>
    <xf numFmtId="0" fontId="31" fillId="0" borderId="157" xfId="48" applyFont="1" applyFill="1" applyBorder="1" applyAlignment="1">
      <alignment horizontal="center" vertical="center" wrapText="1"/>
    </xf>
    <xf numFmtId="0" fontId="31" fillId="0" borderId="46" xfId="48" applyFont="1" applyFill="1" applyBorder="1" applyAlignment="1">
      <alignment horizontal="center" vertical="center" wrapText="1"/>
    </xf>
    <xf numFmtId="0" fontId="31" fillId="0" borderId="143" xfId="48" applyFont="1" applyFill="1" applyBorder="1" applyAlignment="1">
      <alignment horizontal="center" vertical="center" wrapText="1"/>
    </xf>
    <xf numFmtId="0" fontId="31" fillId="0" borderId="125" xfId="48" applyFont="1" applyBorder="1" applyAlignment="1">
      <alignment horizontal="center" vertical="center" wrapText="1"/>
    </xf>
    <xf numFmtId="0" fontId="31" fillId="0" borderId="31" xfId="48" applyFont="1" applyBorder="1" applyAlignment="1">
      <alignment horizontal="center" vertical="center" wrapText="1"/>
    </xf>
    <xf numFmtId="177" fontId="57" fillId="0" borderId="24" xfId="0" applyNumberFormat="1" applyFont="1" applyBorder="1" applyAlignment="1">
      <alignment horizontal="center" vertical="center"/>
    </xf>
    <xf numFmtId="177" fontId="57" fillId="0" borderId="28" xfId="0" applyNumberFormat="1" applyFont="1" applyBorder="1" applyAlignment="1">
      <alignment horizontal="center" vertical="center"/>
    </xf>
    <xf numFmtId="177" fontId="57" fillId="0" borderId="31" xfId="0" applyNumberFormat="1" applyFont="1" applyBorder="1" applyAlignment="1">
      <alignment horizontal="center" vertical="center"/>
    </xf>
    <xf numFmtId="0" fontId="57" fillId="26" borderId="199" xfId="0" applyFont="1" applyFill="1" applyBorder="1" applyAlignment="1">
      <alignment horizontal="center" vertical="center"/>
    </xf>
    <xf numFmtId="0" fontId="57" fillId="26" borderId="110" xfId="0" applyFont="1" applyFill="1" applyBorder="1" applyAlignment="1">
      <alignment horizontal="center" vertical="center"/>
    </xf>
    <xf numFmtId="0" fontId="57" fillId="26" borderId="24" xfId="0" applyFont="1" applyFill="1" applyBorder="1" applyAlignment="1">
      <alignment horizontal="center" vertical="center"/>
    </xf>
    <xf numFmtId="0" fontId="57" fillId="26" borderId="31" xfId="0" applyFont="1" applyFill="1" applyBorder="1" applyAlignment="1">
      <alignment horizontal="center" vertical="center"/>
    </xf>
    <xf numFmtId="0" fontId="57" fillId="33" borderId="155" xfId="0" applyFont="1" applyFill="1" applyBorder="1" applyAlignment="1">
      <alignment horizontal="center" vertical="center"/>
    </xf>
    <xf numFmtId="0" fontId="57" fillId="33" borderId="64" xfId="0" applyFont="1" applyFill="1" applyBorder="1" applyAlignment="1">
      <alignment horizontal="center" vertical="center"/>
    </xf>
    <xf numFmtId="0" fontId="57" fillId="33" borderId="209" xfId="0" applyFont="1" applyFill="1" applyBorder="1" applyAlignment="1">
      <alignment horizontal="center" vertical="center"/>
    </xf>
    <xf numFmtId="196" fontId="46" fillId="0" borderId="155" xfId="0" applyNumberFormat="1" applyFont="1" applyFill="1" applyBorder="1" applyAlignment="1">
      <alignment vertical="center"/>
    </xf>
    <xf numFmtId="196" fontId="46" fillId="0" borderId="209" xfId="0" applyNumberFormat="1" applyFont="1" applyFill="1" applyBorder="1" applyAlignment="1">
      <alignment vertical="center"/>
    </xf>
    <xf numFmtId="196" fontId="46" fillId="0" borderId="224" xfId="0" applyNumberFormat="1" applyFont="1" applyFill="1" applyBorder="1" applyAlignment="1">
      <alignment vertical="center"/>
    </xf>
    <xf numFmtId="196" fontId="46" fillId="0" borderId="174" xfId="0" applyNumberFormat="1" applyFont="1" applyFill="1" applyBorder="1" applyAlignment="1">
      <alignment vertical="center"/>
    </xf>
    <xf numFmtId="196" fontId="46" fillId="0" borderId="187" xfId="0" applyNumberFormat="1" applyFont="1" applyFill="1" applyBorder="1" applyAlignment="1">
      <alignment vertical="center"/>
    </xf>
    <xf numFmtId="196" fontId="46" fillId="0" borderId="58" xfId="0" applyNumberFormat="1" applyFont="1" applyFill="1" applyBorder="1" applyAlignment="1">
      <alignment vertical="center"/>
    </xf>
    <xf numFmtId="196" fontId="46" fillId="0" borderId="152" xfId="33" applyNumberFormat="1" applyFont="1" applyFill="1" applyBorder="1" applyAlignment="1">
      <alignment horizontal="center" vertical="center"/>
    </xf>
    <xf numFmtId="196" fontId="46" fillId="0" borderId="241" xfId="33" applyNumberFormat="1" applyFont="1" applyFill="1" applyBorder="1" applyAlignment="1">
      <alignment horizontal="center" vertical="center"/>
    </xf>
    <xf numFmtId="196" fontId="46" fillId="0" borderId="73" xfId="33" applyNumberFormat="1" applyFont="1" applyFill="1" applyBorder="1" applyAlignment="1">
      <alignment horizontal="center" vertical="center"/>
    </xf>
    <xf numFmtId="196" fontId="46" fillId="0" borderId="153" xfId="33" applyNumberFormat="1" applyFont="1" applyFill="1" applyBorder="1" applyAlignment="1">
      <alignment horizontal="center" vertical="center"/>
    </xf>
    <xf numFmtId="196" fontId="46" fillId="0" borderId="156" xfId="33" applyNumberFormat="1" applyFont="1" applyFill="1" applyBorder="1" applyAlignment="1">
      <alignment horizontal="center" vertical="center"/>
    </xf>
    <xf numFmtId="196" fontId="46" fillId="0" borderId="74" xfId="33" applyNumberFormat="1" applyFont="1" applyFill="1" applyBorder="1" applyAlignment="1">
      <alignment horizontal="center" vertical="center"/>
    </xf>
    <xf numFmtId="196" fontId="46" fillId="0" borderId="188" xfId="33" applyNumberFormat="1" applyFont="1" applyFill="1" applyBorder="1" applyAlignment="1">
      <alignment horizontal="center" vertical="center"/>
    </xf>
    <xf numFmtId="196" fontId="46" fillId="0" borderId="262" xfId="33" applyNumberFormat="1" applyFont="1" applyFill="1" applyBorder="1" applyAlignment="1">
      <alignment horizontal="center" vertical="center"/>
    </xf>
    <xf numFmtId="196" fontId="46" fillId="0" borderId="149" xfId="33" applyNumberFormat="1" applyFont="1" applyFill="1" applyBorder="1" applyAlignment="1">
      <alignment horizontal="center" vertical="center"/>
    </xf>
    <xf numFmtId="0" fontId="57" fillId="33" borderId="59" xfId="0" applyFont="1" applyFill="1" applyBorder="1" applyAlignment="1">
      <alignment horizontal="center" vertical="center"/>
    </xf>
    <xf numFmtId="0" fontId="57" fillId="33" borderId="109" xfId="0" applyFont="1" applyFill="1" applyBorder="1" applyAlignment="1">
      <alignment horizontal="center" vertical="center"/>
    </xf>
    <xf numFmtId="196" fontId="57" fillId="0" borderId="155" xfId="29" applyNumberFormat="1" applyFont="1" applyFill="1" applyBorder="1" applyAlignment="1">
      <alignment horizontal="center" vertical="center"/>
    </xf>
    <xf numFmtId="196" fontId="57" fillId="0" borderId="209" xfId="29" applyNumberFormat="1" applyFont="1" applyFill="1" applyBorder="1" applyAlignment="1">
      <alignment horizontal="center" vertical="center"/>
    </xf>
    <xf numFmtId="196" fontId="57" fillId="0" borderId="224" xfId="29" applyNumberFormat="1" applyFont="1" applyFill="1" applyBorder="1" applyAlignment="1">
      <alignment horizontal="center" vertical="center"/>
    </xf>
    <xf numFmtId="196" fontId="57" fillId="0" borderId="174" xfId="29" applyNumberFormat="1" applyFont="1" applyFill="1" applyBorder="1" applyAlignment="1">
      <alignment horizontal="center" vertical="center"/>
    </xf>
    <xf numFmtId="196" fontId="57" fillId="0" borderId="187" xfId="29" applyNumberFormat="1" applyFont="1" applyFill="1" applyBorder="1" applyAlignment="1">
      <alignment horizontal="center" vertical="center"/>
    </xf>
    <xf numFmtId="196" fontId="57" fillId="0" borderId="58" xfId="29" applyNumberFormat="1" applyFont="1" applyFill="1" applyBorder="1" applyAlignment="1">
      <alignment horizontal="center" vertical="center"/>
    </xf>
    <xf numFmtId="0" fontId="57" fillId="26" borderId="59" xfId="0" applyFont="1" applyFill="1" applyBorder="1" applyAlignment="1">
      <alignment horizontal="center" vertical="center"/>
    </xf>
    <xf numFmtId="0" fontId="57" fillId="26" borderId="109" xfId="0" applyFont="1" applyFill="1" applyBorder="1" applyAlignment="1">
      <alignment horizontal="center" vertical="center"/>
    </xf>
    <xf numFmtId="0" fontId="57" fillId="0" borderId="152" xfId="0" applyFont="1" applyBorder="1" applyAlignment="1">
      <alignment horizontal="center" vertical="center"/>
    </xf>
    <xf numFmtId="0" fontId="57" fillId="0" borderId="73" xfId="0" applyFont="1" applyBorder="1" applyAlignment="1">
      <alignment horizontal="center" vertical="center"/>
    </xf>
    <xf numFmtId="0" fontId="57" fillId="0" borderId="153" xfId="0" applyFont="1" applyBorder="1" applyAlignment="1">
      <alignment horizontal="center" vertical="center"/>
    </xf>
    <xf numFmtId="0" fontId="57" fillId="0" borderId="74" xfId="0" applyFont="1" applyBorder="1" applyAlignment="1">
      <alignment horizontal="center" vertical="center"/>
    </xf>
    <xf numFmtId="0" fontId="57" fillId="0" borderId="188" xfId="0" applyFont="1" applyBorder="1" applyAlignment="1">
      <alignment horizontal="center" vertical="center"/>
    </xf>
    <xf numFmtId="0" fontId="57" fillId="0" borderId="149" xfId="0" applyFont="1" applyBorder="1" applyAlignment="1">
      <alignment horizontal="center" vertical="center"/>
    </xf>
    <xf numFmtId="0" fontId="47" fillId="0" borderId="259" xfId="0" applyFont="1" applyFill="1" applyBorder="1" applyAlignment="1">
      <alignment horizontal="center" vertical="center"/>
    </xf>
    <xf numFmtId="0" fontId="47" fillId="0" borderId="234" xfId="0" applyFont="1" applyFill="1" applyBorder="1" applyAlignment="1">
      <alignment horizontal="center" vertical="center"/>
    </xf>
    <xf numFmtId="0" fontId="43" fillId="0" borderId="139" xfId="0" applyFont="1" applyBorder="1" applyAlignment="1">
      <alignment horizontal="center" vertical="center"/>
    </xf>
    <xf numFmtId="0" fontId="43" fillId="0" borderId="140" xfId="0" applyFont="1" applyBorder="1" applyAlignment="1">
      <alignment horizontal="center" vertical="center"/>
    </xf>
    <xf numFmtId="9" fontId="46" fillId="32" borderId="152" xfId="29" applyFont="1" applyFill="1" applyBorder="1" applyAlignment="1">
      <alignment horizontal="center" vertical="center"/>
    </xf>
    <xf numFmtId="9" fontId="46" fillId="32" borderId="73" xfId="29" applyFont="1" applyFill="1" applyBorder="1" applyAlignment="1">
      <alignment horizontal="center" vertical="center"/>
    </xf>
    <xf numFmtId="9" fontId="46" fillId="32" borderId="70" xfId="29" applyFont="1" applyFill="1" applyBorder="1" applyAlignment="1">
      <alignment horizontal="center" vertical="center"/>
    </xf>
    <xf numFmtId="9" fontId="46" fillId="32" borderId="153" xfId="29" applyFont="1" applyFill="1" applyBorder="1" applyAlignment="1">
      <alignment horizontal="center" vertical="center"/>
    </xf>
    <xf numFmtId="9" fontId="46" fillId="32" borderId="74" xfId="29" applyFont="1" applyFill="1" applyBorder="1" applyAlignment="1">
      <alignment horizontal="center" vertical="center"/>
    </xf>
    <xf numFmtId="9" fontId="46" fillId="32" borderId="255" xfId="29" applyFont="1" applyFill="1" applyBorder="1" applyAlignment="1">
      <alignment horizontal="center" vertical="center"/>
    </xf>
    <xf numFmtId="9" fontId="46" fillId="32" borderId="239" xfId="29" applyFont="1" applyFill="1" applyBorder="1" applyAlignment="1">
      <alignment horizontal="center" vertical="center"/>
    </xf>
    <xf numFmtId="9" fontId="46" fillId="32" borderId="71" xfId="29" applyFont="1" applyFill="1" applyBorder="1" applyAlignment="1">
      <alignment horizontal="center" vertical="center"/>
    </xf>
    <xf numFmtId="9" fontId="46" fillId="32" borderId="233" xfId="29" applyFont="1" applyFill="1" applyBorder="1" applyAlignment="1">
      <alignment horizontal="center" vertical="center"/>
    </xf>
    <xf numFmtId="0" fontId="43" fillId="0" borderId="125" xfId="0" applyFont="1" applyBorder="1" applyAlignment="1">
      <alignment horizontal="center" vertical="center"/>
    </xf>
    <xf numFmtId="0" fontId="43" fillId="0" borderId="182" xfId="0" applyFont="1" applyBorder="1" applyAlignment="1">
      <alignment horizontal="center" vertical="center"/>
    </xf>
    <xf numFmtId="0" fontId="43" fillId="0" borderId="184" xfId="0" applyFont="1" applyBorder="1" applyAlignment="1">
      <alignment horizontal="center" vertical="center"/>
    </xf>
    <xf numFmtId="0" fontId="67" fillId="0" borderId="236" xfId="0" applyFont="1" applyFill="1" applyBorder="1" applyAlignment="1">
      <alignment horizontal="center" vertical="center" wrapText="1"/>
    </xf>
    <xf numFmtId="0" fontId="67" fillId="0" borderId="144" xfId="0" applyFont="1" applyFill="1" applyBorder="1" applyAlignment="1">
      <alignment horizontal="center" vertical="center" wrapText="1"/>
    </xf>
    <xf numFmtId="0" fontId="63" fillId="24" borderId="153" xfId="0" applyFont="1" applyFill="1" applyBorder="1" applyAlignment="1">
      <alignment horizontal="center" vertical="center" wrapText="1"/>
    </xf>
    <xf numFmtId="0" fontId="63" fillId="24" borderId="74" xfId="0" applyFont="1" applyFill="1" applyBorder="1" applyAlignment="1">
      <alignment horizontal="center" vertical="center" wrapText="1"/>
    </xf>
    <xf numFmtId="9" fontId="57" fillId="0" borderId="236" xfId="29" applyFont="1" applyFill="1" applyBorder="1" applyAlignment="1">
      <alignment horizontal="center" vertical="center"/>
    </xf>
    <xf numFmtId="9" fontId="57" fillId="0" borderId="144" xfId="29" applyFont="1" applyFill="1" applyBorder="1" applyAlignment="1">
      <alignment horizontal="center" vertical="center"/>
    </xf>
    <xf numFmtId="9" fontId="57" fillId="0" borderId="103" xfId="29" applyFont="1" applyFill="1" applyBorder="1" applyAlignment="1">
      <alignment horizontal="center" vertical="center"/>
    </xf>
    <xf numFmtId="0" fontId="29" fillId="32" borderId="70" xfId="0" applyFont="1" applyFill="1" applyBorder="1" applyAlignment="1">
      <alignment horizontal="center" vertical="center"/>
    </xf>
    <xf numFmtId="0" fontId="29" fillId="32" borderId="71" xfId="0" applyFont="1" applyFill="1" applyBorder="1" applyAlignment="1">
      <alignment horizontal="center" vertical="center"/>
    </xf>
    <xf numFmtId="0" fontId="29" fillId="32" borderId="72" xfId="0" applyFont="1" applyFill="1" applyBorder="1" applyAlignment="1">
      <alignment horizontal="center" vertical="center"/>
    </xf>
    <xf numFmtId="0" fontId="64" fillId="24" borderId="152" xfId="0" applyFont="1" applyFill="1" applyBorder="1" applyAlignment="1">
      <alignment horizontal="center" vertical="center" wrapText="1"/>
    </xf>
    <xf numFmtId="0" fontId="64" fillId="24" borderId="73" xfId="0" applyFont="1" applyFill="1" applyBorder="1" applyAlignment="1">
      <alignment horizontal="center" vertical="center" wrapText="1"/>
    </xf>
    <xf numFmtId="0" fontId="64" fillId="24" borderId="153" xfId="0" applyFont="1" applyFill="1" applyBorder="1" applyAlignment="1">
      <alignment horizontal="center" vertical="center" wrapText="1"/>
    </xf>
    <xf numFmtId="0" fontId="64" fillId="24" borderId="74" xfId="0" applyFont="1" applyFill="1" applyBorder="1" applyAlignment="1">
      <alignment horizontal="center" vertical="center" wrapText="1"/>
    </xf>
    <xf numFmtId="0" fontId="64" fillId="24" borderId="188" xfId="0" applyFont="1" applyFill="1" applyBorder="1" applyAlignment="1">
      <alignment horizontal="center" vertical="center" wrapText="1"/>
    </xf>
    <xf numFmtId="0" fontId="64" fillId="24" borderId="149" xfId="0" applyFont="1" applyFill="1" applyBorder="1" applyAlignment="1">
      <alignment horizontal="center" vertical="center" wrapText="1"/>
    </xf>
    <xf numFmtId="0" fontId="62" fillId="0" borderId="197" xfId="0" applyFont="1" applyBorder="1" applyAlignment="1">
      <alignment horizontal="center" vertical="center" wrapText="1"/>
    </xf>
    <xf numFmtId="0" fontId="62" fillId="0" borderId="140" xfId="0" applyFont="1" applyBorder="1" applyAlignment="1">
      <alignment horizontal="center" vertical="center" wrapText="1"/>
    </xf>
    <xf numFmtId="0" fontId="62" fillId="0" borderId="139" xfId="0" applyFont="1" applyFill="1" applyBorder="1" applyAlignment="1">
      <alignment horizontal="center" vertical="center" wrapText="1"/>
    </xf>
    <xf numFmtId="0" fontId="62" fillId="0" borderId="140" xfId="0" applyFont="1" applyFill="1" applyBorder="1" applyAlignment="1">
      <alignment horizontal="center" vertical="center" wrapText="1"/>
    </xf>
    <xf numFmtId="0" fontId="62" fillId="0" borderId="260" xfId="0" applyFont="1" applyBorder="1" applyAlignment="1">
      <alignment horizontal="center" vertical="center" wrapText="1"/>
    </xf>
    <xf numFmtId="0" fontId="62" fillId="0" borderId="261" xfId="0" applyFont="1" applyBorder="1" applyAlignment="1">
      <alignment horizontal="center" vertical="center" wrapText="1"/>
    </xf>
    <xf numFmtId="0" fontId="64" fillId="0" borderId="263" xfId="0" applyFont="1" applyBorder="1" applyAlignment="1">
      <alignment horizontal="center" vertical="center" wrapText="1"/>
    </xf>
    <xf numFmtId="0" fontId="64" fillId="0" borderId="264" xfId="0" applyFont="1" applyBorder="1" applyAlignment="1">
      <alignment horizontal="center" vertical="center" wrapText="1"/>
    </xf>
    <xf numFmtId="0" fontId="64" fillId="0" borderId="265" xfId="0" applyFont="1" applyBorder="1" applyAlignment="1">
      <alignment horizontal="center" vertical="center" wrapText="1"/>
    </xf>
    <xf numFmtId="0" fontId="63" fillId="24" borderId="235" xfId="0" applyFont="1" applyFill="1" applyBorder="1" applyAlignment="1">
      <alignment horizontal="center" vertical="center" wrapText="1"/>
    </xf>
    <xf numFmtId="0" fontId="63" fillId="24" borderId="225" xfId="0" applyFont="1" applyFill="1" applyBorder="1" applyAlignment="1">
      <alignment horizontal="center" vertical="center" wrapText="1"/>
    </xf>
    <xf numFmtId="0" fontId="57" fillId="26" borderId="36" xfId="0" applyFont="1" applyFill="1" applyBorder="1" applyAlignment="1">
      <alignment horizontal="center" vertical="center"/>
    </xf>
    <xf numFmtId="0" fontId="57" fillId="26" borderId="32" xfId="0" applyFont="1" applyFill="1" applyBorder="1" applyAlignment="1">
      <alignment horizontal="center" vertical="center"/>
    </xf>
    <xf numFmtId="0" fontId="57" fillId="26" borderId="200" xfId="0" applyFont="1" applyFill="1" applyBorder="1" applyAlignment="1">
      <alignment horizontal="center" vertical="center"/>
    </xf>
    <xf numFmtId="0" fontId="57" fillId="26" borderId="111" xfId="0" applyFont="1" applyFill="1" applyBorder="1" applyAlignment="1">
      <alignment horizontal="center" vertical="center"/>
    </xf>
    <xf numFmtId="0" fontId="57" fillId="26" borderId="37" xfId="0" applyFont="1" applyFill="1" applyBorder="1" applyAlignment="1">
      <alignment horizontal="center" vertical="center"/>
    </xf>
    <xf numFmtId="0" fontId="57" fillId="26" borderId="39" xfId="0" applyFont="1" applyFill="1" applyBorder="1" applyAlignment="1">
      <alignment horizontal="center" vertical="center"/>
    </xf>
    <xf numFmtId="0" fontId="57" fillId="26" borderId="208" xfId="0" applyFont="1" applyFill="1" applyBorder="1" applyAlignment="1">
      <alignment horizontal="center" vertical="center"/>
    </xf>
    <xf numFmtId="0" fontId="57" fillId="26" borderId="33" xfId="0" applyFont="1" applyFill="1" applyBorder="1" applyAlignment="1">
      <alignment horizontal="center" vertical="center"/>
    </xf>
    <xf numFmtId="177" fontId="46" fillId="0" borderId="205" xfId="0" applyNumberFormat="1" applyFont="1" applyFill="1" applyBorder="1" applyAlignment="1">
      <alignment horizontal="center" vertical="center"/>
    </xf>
    <xf numFmtId="177" fontId="46" fillId="0" borderId="206" xfId="0" applyNumberFormat="1" applyFont="1" applyFill="1" applyBorder="1" applyAlignment="1">
      <alignment horizontal="center" vertical="center"/>
    </xf>
    <xf numFmtId="177" fontId="46" fillId="0" borderId="207" xfId="0" applyNumberFormat="1" applyFont="1" applyFill="1" applyBorder="1" applyAlignment="1">
      <alignment horizontal="center" vertical="center"/>
    </xf>
    <xf numFmtId="177" fontId="46" fillId="0" borderId="97" xfId="0" applyNumberFormat="1" applyFont="1" applyFill="1" applyBorder="1" applyAlignment="1">
      <alignment horizontal="center" vertical="center"/>
    </xf>
    <xf numFmtId="177" fontId="46" fillId="0" borderId="98" xfId="0" applyNumberFormat="1" applyFont="1" applyFill="1" applyBorder="1" applyAlignment="1">
      <alignment horizontal="center" vertical="center"/>
    </xf>
    <xf numFmtId="177" fontId="46" fillId="0" borderId="99" xfId="0" applyNumberFormat="1" applyFont="1" applyFill="1" applyBorder="1" applyAlignment="1">
      <alignment horizontal="center" vertical="center"/>
    </xf>
    <xf numFmtId="177" fontId="46" fillId="0" borderId="210" xfId="0" applyNumberFormat="1" applyFont="1" applyBorder="1" applyAlignment="1">
      <alignment horizontal="center" vertical="center"/>
    </xf>
    <xf numFmtId="177" fontId="46" fillId="0" borderId="211" xfId="0" applyNumberFormat="1" applyFont="1" applyBorder="1" applyAlignment="1">
      <alignment horizontal="center" vertical="center"/>
    </xf>
    <xf numFmtId="177" fontId="46" fillId="0" borderId="212" xfId="0" applyNumberFormat="1" applyFont="1" applyBorder="1" applyAlignment="1">
      <alignment horizontal="center" vertical="center"/>
    </xf>
    <xf numFmtId="177" fontId="57" fillId="0" borderId="210" xfId="0" applyNumberFormat="1" applyFont="1" applyBorder="1" applyAlignment="1">
      <alignment horizontal="center" vertical="center"/>
    </xf>
    <xf numFmtId="177" fontId="57" fillId="0" borderId="211" xfId="0" applyNumberFormat="1" applyFont="1" applyBorder="1" applyAlignment="1">
      <alignment horizontal="center" vertical="center"/>
    </xf>
    <xf numFmtId="177" fontId="57" fillId="0" borderId="212" xfId="0" applyNumberFormat="1" applyFont="1" applyBorder="1" applyAlignment="1">
      <alignment horizontal="center" vertical="center"/>
    </xf>
    <xf numFmtId="0" fontId="57" fillId="26" borderId="64" xfId="0" applyFont="1" applyFill="1" applyBorder="1" applyAlignment="1">
      <alignment horizontal="center" vertical="center" wrapText="1"/>
    </xf>
    <xf numFmtId="0" fontId="57" fillId="26" borderId="101" xfId="0" applyFont="1" applyFill="1" applyBorder="1" applyAlignment="1">
      <alignment horizontal="center" vertical="center"/>
    </xf>
    <xf numFmtId="0" fontId="57" fillId="26" borderId="24" xfId="0" applyFont="1" applyFill="1" applyBorder="1" applyAlignment="1">
      <alignment horizontal="center" vertical="center" wrapText="1"/>
    </xf>
    <xf numFmtId="0" fontId="57" fillId="26" borderId="209" xfId="0" applyFont="1" applyFill="1" applyBorder="1" applyAlignment="1">
      <alignment horizontal="center" vertical="center"/>
    </xf>
    <xf numFmtId="0" fontId="57" fillId="26" borderId="58" xfId="0" applyFont="1" applyFill="1" applyBorder="1" applyAlignment="1">
      <alignment horizontal="center" vertical="center"/>
    </xf>
    <xf numFmtId="177" fontId="46" fillId="0" borderId="24" xfId="0" applyNumberFormat="1" applyFont="1" applyBorder="1" applyAlignment="1">
      <alignment horizontal="center" vertical="center"/>
    </xf>
    <xf numFmtId="177" fontId="46" fillId="0" borderId="28" xfId="0" applyNumberFormat="1" applyFont="1" applyBorder="1" applyAlignment="1">
      <alignment horizontal="center" vertical="center"/>
    </xf>
    <xf numFmtId="177" fontId="46" fillId="0" borderId="31" xfId="0" applyNumberFormat="1" applyFont="1" applyBorder="1" applyAlignment="1">
      <alignment horizontal="center" vertical="center"/>
    </xf>
    <xf numFmtId="0" fontId="57" fillId="26" borderId="198" xfId="0" applyFont="1" applyFill="1" applyBorder="1" applyAlignment="1">
      <alignment horizontal="center" vertical="center"/>
    </xf>
    <xf numFmtId="0" fontId="57" fillId="26" borderId="151" xfId="0" applyFont="1" applyFill="1" applyBorder="1" applyAlignment="1">
      <alignment horizontal="center" vertical="center"/>
    </xf>
    <xf numFmtId="0" fontId="57" fillId="26" borderId="52" xfId="0" applyFont="1" applyFill="1" applyBorder="1" applyAlignment="1">
      <alignment horizontal="center" vertical="center"/>
    </xf>
    <xf numFmtId="10" fontId="57" fillId="26" borderId="24" xfId="29" applyNumberFormat="1" applyFont="1" applyFill="1" applyBorder="1" applyAlignment="1">
      <alignment horizontal="center" vertical="center"/>
    </xf>
    <xf numFmtId="10" fontId="57" fillId="26" borderId="31" xfId="29" applyNumberFormat="1" applyFont="1" applyFill="1" applyBorder="1" applyAlignment="1">
      <alignment horizontal="center" vertical="center"/>
    </xf>
    <xf numFmtId="0" fontId="46" fillId="0" borderId="25" xfId="0" applyFont="1" applyBorder="1" applyAlignment="1">
      <alignment horizontal="center" vertical="center" shrinkToFit="1"/>
    </xf>
    <xf numFmtId="10" fontId="46" fillId="0" borderId="25" xfId="29" applyNumberFormat="1" applyFont="1" applyBorder="1" applyAlignment="1">
      <alignment horizontal="center" vertical="center"/>
    </xf>
    <xf numFmtId="9" fontId="46" fillId="0" borderId="25" xfId="0" applyNumberFormat="1" applyFont="1" applyFill="1" applyBorder="1" applyAlignment="1">
      <alignment horizontal="center" vertical="center"/>
    </xf>
    <xf numFmtId="10" fontId="46" fillId="0" borderId="25" xfId="0" applyNumberFormat="1" applyFont="1" applyBorder="1" applyAlignment="1">
      <alignment horizontal="center" vertical="center"/>
    </xf>
    <xf numFmtId="177" fontId="57" fillId="0" borderId="25" xfId="0" applyNumberFormat="1" applyFont="1" applyBorder="1" applyAlignment="1">
      <alignment horizontal="center" vertical="center"/>
    </xf>
    <xf numFmtId="177" fontId="46" fillId="0" borderId="202" xfId="0" applyNumberFormat="1" applyFont="1" applyFill="1" applyBorder="1" applyAlignment="1">
      <alignment horizontal="center" vertical="center"/>
    </xf>
    <xf numFmtId="177" fontId="46" fillId="0" borderId="203" xfId="0" applyNumberFormat="1" applyFont="1" applyFill="1" applyBorder="1" applyAlignment="1">
      <alignment horizontal="center" vertical="center"/>
    </xf>
    <xf numFmtId="177" fontId="46" fillId="0" borderId="204" xfId="0" applyNumberFormat="1" applyFont="1" applyFill="1" applyBorder="1" applyAlignment="1">
      <alignment horizontal="center" vertical="center"/>
    </xf>
    <xf numFmtId="177" fontId="46" fillId="0" borderId="202" xfId="0" applyNumberFormat="1" applyFont="1" applyBorder="1" applyAlignment="1">
      <alignment horizontal="center" vertical="center"/>
    </xf>
    <xf numFmtId="177" fontId="46" fillId="0" borderId="203" xfId="0" applyNumberFormat="1" applyFont="1" applyBorder="1" applyAlignment="1">
      <alignment horizontal="center" vertical="center"/>
    </xf>
    <xf numFmtId="177" fontId="46" fillId="0" borderId="204" xfId="0" applyNumberFormat="1" applyFont="1" applyBorder="1" applyAlignment="1">
      <alignment horizontal="center" vertical="center"/>
    </xf>
    <xf numFmtId="177" fontId="57" fillId="0" borderId="92" xfId="0" applyNumberFormat="1" applyFont="1" applyBorder="1" applyAlignment="1">
      <alignment horizontal="center" vertical="center"/>
    </xf>
    <xf numFmtId="177" fontId="57" fillId="0" borderId="94" xfId="0" applyNumberFormat="1" applyFont="1" applyBorder="1" applyAlignment="1">
      <alignment horizontal="center" vertical="center"/>
    </xf>
    <xf numFmtId="177" fontId="57" fillId="0" borderId="96" xfId="0" applyNumberFormat="1" applyFont="1" applyBorder="1" applyAlignment="1">
      <alignment horizontal="center" vertical="center"/>
    </xf>
    <xf numFmtId="0" fontId="57" fillId="26" borderId="52" xfId="0" applyFont="1" applyFill="1" applyBorder="1" applyAlignment="1">
      <alignment horizontal="center" vertical="center" wrapText="1"/>
    </xf>
    <xf numFmtId="0" fontId="57" fillId="26" borderId="201" xfId="0" applyFont="1" applyFill="1" applyBorder="1" applyAlignment="1">
      <alignment horizontal="center" vertical="center" wrapText="1"/>
    </xf>
    <xf numFmtId="0" fontId="57" fillId="26" borderId="201" xfId="0" applyFont="1" applyFill="1" applyBorder="1" applyAlignment="1">
      <alignment horizontal="center" vertical="center"/>
    </xf>
    <xf numFmtId="0" fontId="28" fillId="0" borderId="69" xfId="48" applyFont="1" applyFill="1" applyBorder="1" applyAlignment="1">
      <alignment horizontal="center" vertical="center"/>
    </xf>
    <xf numFmtId="0" fontId="28" fillId="0" borderId="142" xfId="48" applyFont="1" applyFill="1" applyBorder="1" applyAlignment="1">
      <alignment horizontal="center" vertical="center"/>
    </xf>
    <xf numFmtId="0" fontId="28" fillId="0" borderId="109" xfId="48" applyFont="1" applyFill="1" applyBorder="1" applyAlignment="1">
      <alignment horizontal="center" vertical="center"/>
    </xf>
    <xf numFmtId="0" fontId="28" fillId="0" borderId="69" xfId="48" applyFont="1" applyBorder="1" applyAlignment="1">
      <alignment horizontal="center" vertical="center"/>
    </xf>
    <xf numFmtId="0" fontId="28" fillId="0" borderId="142" xfId="48" applyFont="1" applyBorder="1" applyAlignment="1">
      <alignment horizontal="center" vertical="center"/>
    </xf>
    <xf numFmtId="0" fontId="28" fillId="0" borderId="109" xfId="48" applyFont="1" applyBorder="1" applyAlignment="1">
      <alignment horizontal="center" vertical="center"/>
    </xf>
    <xf numFmtId="0" fontId="28" fillId="0" borderId="62" xfId="48" applyFont="1" applyFill="1" applyBorder="1" applyAlignment="1">
      <alignment horizontal="center" vertical="center"/>
    </xf>
    <xf numFmtId="0" fontId="28" fillId="0" borderId="25" xfId="48" applyFont="1" applyFill="1" applyBorder="1" applyAlignment="1">
      <alignment horizontal="center" vertical="center"/>
    </xf>
    <xf numFmtId="0" fontId="28" fillId="0" borderId="124" xfId="48" applyFont="1" applyFill="1" applyBorder="1" applyAlignment="1">
      <alignment horizontal="center" vertical="center"/>
    </xf>
    <xf numFmtId="0" fontId="28" fillId="0" borderId="103" xfId="48" applyFont="1" applyFill="1" applyBorder="1" applyAlignment="1">
      <alignment horizontal="center" vertical="center"/>
    </xf>
    <xf numFmtId="0" fontId="46" fillId="33" borderId="24" xfId="0" applyFont="1" applyFill="1" applyBorder="1" applyAlignment="1">
      <alignment horizontal="center" vertical="center"/>
    </xf>
    <xf numFmtId="0" fontId="46" fillId="33" borderId="28" xfId="0" applyFont="1" applyFill="1" applyBorder="1" applyAlignment="1">
      <alignment horizontal="center" vertical="center"/>
    </xf>
    <xf numFmtId="0" fontId="46" fillId="0" borderId="28" xfId="0" applyFont="1" applyBorder="1" applyAlignment="1">
      <alignment horizontal="center" vertical="center"/>
    </xf>
    <xf numFmtId="0" fontId="46" fillId="0" borderId="31" xfId="0" applyFont="1" applyBorder="1" applyAlignment="1">
      <alignment horizontal="center" vertical="center"/>
    </xf>
    <xf numFmtId="177" fontId="72" fillId="29" borderId="24" xfId="0" applyNumberFormat="1" applyFont="1" applyFill="1" applyBorder="1" applyAlignment="1">
      <alignment horizontal="center" vertical="center"/>
    </xf>
    <xf numFmtId="177" fontId="72" fillId="29" borderId="28" xfId="0" applyNumberFormat="1" applyFont="1" applyFill="1" applyBorder="1" applyAlignment="1">
      <alignment horizontal="center" vertical="center"/>
    </xf>
    <xf numFmtId="177" fontId="72" fillId="29" borderId="31" xfId="0" applyNumberFormat="1" applyFont="1" applyFill="1" applyBorder="1" applyAlignment="1">
      <alignment horizontal="center" vertical="center"/>
    </xf>
    <xf numFmtId="0" fontId="46" fillId="33" borderId="36" xfId="0" applyFont="1" applyFill="1" applyBorder="1" applyAlignment="1">
      <alignment horizontal="center" vertical="center"/>
    </xf>
    <xf numFmtId="0" fontId="46" fillId="33" borderId="32" xfId="0" applyFont="1" applyFill="1" applyBorder="1" applyAlignment="1">
      <alignment horizontal="center" vertical="center"/>
    </xf>
    <xf numFmtId="0" fontId="71" fillId="26" borderId="24" xfId="0" applyFont="1" applyFill="1" applyBorder="1" applyAlignment="1">
      <alignment horizontal="center" vertical="center" wrapText="1"/>
    </xf>
    <xf numFmtId="0" fontId="71" fillId="26" borderId="31" xfId="0" applyFont="1" applyFill="1" applyBorder="1" applyAlignment="1">
      <alignment horizontal="center" vertical="center"/>
    </xf>
    <xf numFmtId="0" fontId="46" fillId="33" borderId="155" xfId="0" applyFont="1" applyFill="1" applyBorder="1" applyAlignment="1">
      <alignment horizontal="center" vertical="center" wrapText="1"/>
    </xf>
    <xf numFmtId="0" fontId="46" fillId="33" borderId="187" xfId="0" applyFont="1" applyFill="1" applyBorder="1" applyAlignment="1">
      <alignment horizontal="center" vertical="center" wrapText="1"/>
    </xf>
  </cellXfs>
  <cellStyles count="49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29" builtinId="5"/>
    <cellStyle name="보통" xfId="30" builtinId="28" customBuiltin="1"/>
    <cellStyle name="설명 텍스트" xfId="31" builtinId="53" customBuiltin="1"/>
    <cellStyle name="셀 확인" xfId="32" builtinId="23" customBuiltin="1"/>
    <cellStyle name="쉼표 [0]" xfId="33" builtinId="6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" xfId="44"/>
    <cellStyle name="표준 2 2" xfId="45"/>
    <cellStyle name="표준 3" xfId="46"/>
    <cellStyle name="표준 4" xfId="47"/>
    <cellStyle name="표준_15_도로설계실적현황관리(수성+용마)" xfId="48"/>
  </cellStyles>
  <dxfs count="0"/>
  <tableStyles count="0" defaultTableStyle="TableStyleMedium9" defaultPivotStyle="PivotStyleLight16"/>
  <colors>
    <mruColors>
      <color rgb="FFCCFFCC"/>
      <color rgb="FFCCFFFF"/>
      <color rgb="FFFFFFCC"/>
      <color rgb="FF99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haredStrings" Target="sharedStrings.xml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1</xdr:col>
      <xdr:colOff>514350</xdr:colOff>
      <xdr:row>3</xdr:row>
      <xdr:rowOff>285750</xdr:rowOff>
    </xdr:to>
    <xdr:sp macro="" textlink="">
      <xdr:nvSpPr>
        <xdr:cNvPr id="10273" name="Rectangle 1"/>
        <xdr:cNvSpPr>
          <a:spLocks noChangeArrowheads="1"/>
        </xdr:cNvSpPr>
      </xdr:nvSpPr>
      <xdr:spPr bwMode="auto">
        <a:xfrm>
          <a:off x="847725" y="800100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104775</xdr:colOff>
      <xdr:row>4</xdr:row>
      <xdr:rowOff>47625</xdr:rowOff>
    </xdr:from>
    <xdr:to>
      <xdr:col>2</xdr:col>
      <xdr:colOff>533400</xdr:colOff>
      <xdr:row>4</xdr:row>
      <xdr:rowOff>285750</xdr:rowOff>
    </xdr:to>
    <xdr:sp macro="" textlink="">
      <xdr:nvSpPr>
        <xdr:cNvPr id="10274" name="Rectangle 2"/>
        <xdr:cNvSpPr>
          <a:spLocks noChangeArrowheads="1"/>
        </xdr:cNvSpPr>
      </xdr:nvSpPr>
      <xdr:spPr bwMode="auto">
        <a:xfrm>
          <a:off x="1628775" y="1133475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590550</xdr:colOff>
      <xdr:row>3</xdr:row>
      <xdr:rowOff>57150</xdr:rowOff>
    </xdr:from>
    <xdr:to>
      <xdr:col>6</xdr:col>
      <xdr:colOff>257175</xdr:colOff>
      <xdr:row>3</xdr:row>
      <xdr:rowOff>295275</xdr:rowOff>
    </xdr:to>
    <xdr:sp macro="" textlink="">
      <xdr:nvSpPr>
        <xdr:cNvPr id="4" name="Rectangle 1"/>
        <xdr:cNvSpPr>
          <a:spLocks noChangeArrowheads="1"/>
        </xdr:cNvSpPr>
      </xdr:nvSpPr>
      <xdr:spPr bwMode="auto">
        <a:xfrm>
          <a:off x="4400550" y="809625"/>
          <a:ext cx="428625" cy="2381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17</xdr:row>
      <xdr:rowOff>28575</xdr:rowOff>
    </xdr:from>
    <xdr:to>
      <xdr:col>1</xdr:col>
      <xdr:colOff>390525</xdr:colOff>
      <xdr:row>17</xdr:row>
      <xdr:rowOff>171450</xdr:rowOff>
    </xdr:to>
    <xdr:sp macro="" textlink="">
      <xdr:nvSpPr>
        <xdr:cNvPr id="7230" name="Rectangle 31"/>
        <xdr:cNvSpPr>
          <a:spLocks noChangeArrowheads="1"/>
        </xdr:cNvSpPr>
      </xdr:nvSpPr>
      <xdr:spPr bwMode="auto">
        <a:xfrm>
          <a:off x="361950" y="4943475"/>
          <a:ext cx="352425" cy="1428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EXCEL&#51089;&#49457;&#50577;&#49885;)&#50689;&#54693;&#54217;&#44032;&#48516;&#50556;%20&#50857;&#50669;%20&#49324;&#50629;&#49688;&#54665;&#45733;&#47141;&#54217;&#44032;%20&#51648;&#52840;%20&#44060;&#51221;(&#54872;&#44221;&#48516;&#50556;-&#45800;&#49692;&#49324;&#50629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참여업체"/>
      <sheetName val="배점기준"/>
      <sheetName val="종합"/>
      <sheetName val="기술자"/>
      <sheetName val="사책"/>
      <sheetName val="환경책1"/>
      <sheetName val="환경책2"/>
      <sheetName val="환경책3"/>
      <sheetName val="환경책4"/>
      <sheetName val="교통책"/>
      <sheetName val="재해책"/>
      <sheetName val="환경참1"/>
      <sheetName val="환경참2"/>
      <sheetName val="환경참3"/>
      <sheetName val="환경참4"/>
      <sheetName val="교통참"/>
      <sheetName val="재해참"/>
      <sheetName val="교육훈련"/>
      <sheetName val="유사용역"/>
      <sheetName val="유사(주관)"/>
      <sheetName val="유사(협력1)"/>
      <sheetName val="유사(협력2)"/>
      <sheetName val="신용도"/>
      <sheetName val="부실벌점"/>
      <sheetName val="기술투자"/>
      <sheetName val="개발(주관)"/>
      <sheetName val="개발(협력)"/>
      <sheetName val="개발(협력2)"/>
      <sheetName val="활용(주관)"/>
      <sheetName val="활용(협력)"/>
      <sheetName val="활용(협력2)"/>
      <sheetName val="중첩도"/>
      <sheetName val="중첩신고"/>
      <sheetName val="가감점"/>
    </sheetNames>
    <sheetDataSet>
      <sheetData sheetId="0" refreshError="1"/>
      <sheetData sheetId="1">
        <row r="6">
          <cell r="C6" t="str">
            <v>㈜ㅁㅁ엔지니어링</v>
          </cell>
        </row>
        <row r="7">
          <cell r="C7">
            <v>0.5</v>
          </cell>
          <cell r="D7">
            <v>0.3</v>
          </cell>
          <cell r="E7">
            <v>0.2</v>
          </cell>
        </row>
      </sheetData>
      <sheetData sheetId="2">
        <row r="104">
          <cell r="D104">
            <v>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7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8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9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10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4.bin"/><Relationship Id="rId4" Type="http://schemas.openxmlformats.org/officeDocument/2006/relationships/comments" Target="../comments11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Relationship Id="rId4" Type="http://schemas.openxmlformats.org/officeDocument/2006/relationships/comments" Target="../comments12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2:M16"/>
  <sheetViews>
    <sheetView tabSelected="1" workbookViewId="0">
      <selection activeCell="I19" sqref="I19"/>
    </sheetView>
  </sheetViews>
  <sheetFormatPr defaultRowHeight="13.5"/>
  <cols>
    <col min="1" max="13" width="8.88671875" style="1"/>
  </cols>
  <sheetData>
    <row r="2" spans="1:13" ht="32.25" customHeight="1">
      <c r="A2" s="2" t="s">
        <v>118</v>
      </c>
    </row>
    <row r="4" spans="1:13" s="5" customFormat="1" ht="26.25" customHeight="1">
      <c r="A4" s="3" t="s">
        <v>254</v>
      </c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s="5" customFormat="1" ht="26.25" customHeight="1">
      <c r="A5" s="3" t="s">
        <v>194</v>
      </c>
      <c r="B5" s="4"/>
      <c r="C5" s="3"/>
      <c r="D5" s="3" t="s">
        <v>195</v>
      </c>
      <c r="E5" s="3"/>
      <c r="F5" s="3"/>
      <c r="G5" s="3"/>
      <c r="H5" s="3"/>
      <c r="I5" s="3"/>
      <c r="J5" s="3"/>
      <c r="K5" s="3"/>
      <c r="L5" s="3"/>
      <c r="M5" s="3"/>
    </row>
    <row r="6" spans="1:13" s="5" customFormat="1" ht="26.25" customHeight="1">
      <c r="A6" s="3" t="s">
        <v>197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s="5" customFormat="1" ht="26.25" customHeight="1">
      <c r="A7" s="3" t="s">
        <v>196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s="5" customFormat="1" ht="36.75" customHeight="1">
      <c r="A8" s="841" t="s">
        <v>198</v>
      </c>
      <c r="B8" s="841"/>
      <c r="C8" s="841"/>
      <c r="D8" s="841"/>
      <c r="E8" s="841"/>
      <c r="F8" s="841"/>
      <c r="G8" s="841"/>
      <c r="H8" s="841"/>
      <c r="I8" s="841"/>
      <c r="J8" s="841"/>
      <c r="K8" s="841"/>
      <c r="L8" s="3"/>
      <c r="M8" s="3"/>
    </row>
    <row r="9" spans="1:13" s="5" customFormat="1" ht="26.25" customHeight="1">
      <c r="A9" s="3" t="s">
        <v>199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41.25" customHeight="1">
      <c r="A10" s="842" t="s">
        <v>200</v>
      </c>
      <c r="B10" s="842"/>
      <c r="C10" s="842"/>
      <c r="D10" s="842"/>
      <c r="E10" s="842"/>
      <c r="F10" s="842"/>
      <c r="G10" s="842"/>
      <c r="H10" s="842"/>
      <c r="I10" s="842"/>
      <c r="J10" s="842"/>
      <c r="K10" s="842"/>
      <c r="L10" s="842"/>
      <c r="M10" s="842"/>
    </row>
    <row r="11" spans="1:13" ht="26.25" customHeight="1">
      <c r="A11" s="3" t="s">
        <v>201</v>
      </c>
    </row>
    <row r="12" spans="1:13" ht="26.25" customHeight="1">
      <c r="A12" s="3" t="s">
        <v>202</v>
      </c>
    </row>
    <row r="13" spans="1:13" ht="26.25" customHeight="1">
      <c r="A13" s="3" t="s">
        <v>207</v>
      </c>
    </row>
    <row r="14" spans="1:13" ht="26.25" customHeight="1"/>
    <row r="15" spans="1:13" ht="26.25" customHeight="1"/>
    <row r="16" spans="1:13" ht="26.25" customHeight="1"/>
  </sheetData>
  <mergeCells count="2">
    <mergeCell ref="A8:K8"/>
    <mergeCell ref="A10:M10"/>
  </mergeCells>
  <phoneticPr fontId="2" type="noConversion"/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10"/>
  </sheetPr>
  <dimension ref="A1:G43"/>
  <sheetViews>
    <sheetView view="pageBreakPreview" zoomScale="115" zoomScaleNormal="85" zoomScaleSheetLayoutView="115" workbookViewId="0">
      <selection activeCell="G14" sqref="G14"/>
    </sheetView>
  </sheetViews>
  <sheetFormatPr defaultRowHeight="16.5"/>
  <cols>
    <col min="1" max="1" width="4" style="181" customWidth="1"/>
    <col min="2" max="2" width="10.77734375" style="181" customWidth="1"/>
    <col min="3" max="3" width="22.77734375" style="181" customWidth="1"/>
    <col min="4" max="4" width="22.44140625" style="181" customWidth="1"/>
    <col min="5" max="5" width="22.6640625" style="181" customWidth="1"/>
    <col min="6" max="6" width="6.6640625" style="181" customWidth="1"/>
    <col min="7" max="8" width="8.88671875" style="181"/>
    <col min="9" max="9" width="11.5546875" style="181" customWidth="1"/>
    <col min="10" max="16384" width="8.88671875" style="181"/>
  </cols>
  <sheetData>
    <row r="1" spans="1:7" ht="12" customHeight="1" thickBot="1"/>
    <row r="2" spans="1:7" ht="47.25" customHeight="1" thickBot="1">
      <c r="B2" s="844" t="s">
        <v>170</v>
      </c>
      <c r="C2" s="845"/>
      <c r="D2" s="845"/>
      <c r="E2" s="845"/>
      <c r="F2" s="846"/>
    </row>
    <row r="3" spans="1:7" s="191" customFormat="1" ht="27" customHeight="1">
      <c r="B3" s="810"/>
      <c r="C3" s="810"/>
      <c r="D3" s="810"/>
      <c r="E3" s="810"/>
      <c r="F3" s="810"/>
    </row>
    <row r="4" spans="1:7" ht="36" customHeight="1">
      <c r="B4" s="811" t="s">
        <v>159</v>
      </c>
      <c r="C4" s="811"/>
      <c r="D4" s="811"/>
      <c r="E4" s="811"/>
      <c r="F4" s="811"/>
    </row>
    <row r="5" spans="1:7" ht="9" customHeight="1"/>
    <row r="6" spans="1:7" ht="57.75" customHeight="1">
      <c r="B6" s="812" t="s">
        <v>44</v>
      </c>
      <c r="C6" s="813" t="s">
        <v>155</v>
      </c>
      <c r="D6" s="813" t="s">
        <v>156</v>
      </c>
      <c r="E6" s="813" t="s">
        <v>481</v>
      </c>
      <c r="F6" s="812" t="s">
        <v>99</v>
      </c>
    </row>
    <row r="7" spans="1:7" ht="58.5" customHeight="1">
      <c r="B7" s="812" t="s">
        <v>55</v>
      </c>
      <c r="C7" s="814">
        <v>0.5</v>
      </c>
      <c r="D7" s="815">
        <v>0.3</v>
      </c>
      <c r="E7" s="815">
        <v>0.2</v>
      </c>
      <c r="F7" s="816"/>
    </row>
    <row r="8" spans="1:7" s="817" customFormat="1" ht="19.5" customHeight="1">
      <c r="A8" s="817" t="s">
        <v>41</v>
      </c>
      <c r="B8" s="843" t="s">
        <v>167</v>
      </c>
      <c r="C8" s="843"/>
      <c r="D8" s="843"/>
      <c r="E8" s="843"/>
      <c r="F8" s="843"/>
      <c r="G8" s="818"/>
    </row>
    <row r="9" spans="1:7" ht="13.5" customHeight="1"/>
    <row r="10" spans="1:7" ht="13.5" customHeight="1"/>
    <row r="11" spans="1:7" ht="13.5" customHeight="1"/>
    <row r="12" spans="1:7" ht="13.5" customHeight="1"/>
    <row r="13" spans="1:7" ht="13.5" customHeight="1"/>
    <row r="14" spans="1:7" ht="13.5" customHeight="1"/>
    <row r="15" spans="1:7" ht="13.5" customHeight="1"/>
    <row r="16" spans="1:7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</sheetData>
  <mergeCells count="2">
    <mergeCell ref="B8:F8"/>
    <mergeCell ref="B2:F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0"/>
    <pageSetUpPr fitToPage="1"/>
  </sheetPr>
  <dimension ref="A1:Q159"/>
  <sheetViews>
    <sheetView showGridLines="0" zoomScaleNormal="100" zoomScaleSheetLayoutView="85" workbookViewId="0">
      <selection activeCell="G4" sqref="G4"/>
    </sheetView>
  </sheetViews>
  <sheetFormatPr defaultColWidth="11.109375" defaultRowHeight="11.25"/>
  <cols>
    <col min="1" max="2" width="11.109375" style="24"/>
    <col min="3" max="3" width="11.88671875" style="24" customWidth="1"/>
    <col min="4" max="4" width="9.109375" style="111" customWidth="1"/>
    <col min="5" max="5" width="12.6640625" style="24" customWidth="1"/>
    <col min="6" max="12" width="14.77734375" style="24" customWidth="1"/>
    <col min="13" max="16384" width="11.109375" style="24"/>
  </cols>
  <sheetData>
    <row r="1" spans="1:16" ht="15" customHeight="1" thickBot="1">
      <c r="A1" s="20" t="s">
        <v>343</v>
      </c>
      <c r="B1" s="21"/>
      <c r="C1" s="22"/>
      <c r="D1" s="22"/>
      <c r="E1" s="23"/>
      <c r="G1" s="872"/>
      <c r="H1" s="872"/>
      <c r="J1" s="23"/>
    </row>
    <row r="2" spans="1:16" ht="15" customHeight="1">
      <c r="A2" s="25" t="s">
        <v>100</v>
      </c>
      <c r="B2" s="26" t="s">
        <v>49</v>
      </c>
      <c r="C2" s="27" t="s">
        <v>157</v>
      </c>
      <c r="D2" s="28" t="s">
        <v>47</v>
      </c>
      <c r="E2" s="29" t="s">
        <v>158</v>
      </c>
      <c r="G2" s="34" t="s">
        <v>256</v>
      </c>
      <c r="H2" s="35">
        <v>42039</v>
      </c>
      <c r="M2" s="30"/>
    </row>
    <row r="3" spans="1:16" ht="15" customHeight="1">
      <c r="A3" s="854" t="s">
        <v>257</v>
      </c>
      <c r="B3" s="31" t="s">
        <v>345</v>
      </c>
      <c r="C3" s="32" t="s">
        <v>258</v>
      </c>
      <c r="D3" s="33">
        <v>0.25</v>
      </c>
      <c r="E3" s="878">
        <f>COUNTA(C3:C8)*2+1</f>
        <v>9</v>
      </c>
      <c r="G3" s="34" t="s">
        <v>644</v>
      </c>
      <c r="H3" s="35">
        <v>42050</v>
      </c>
      <c r="K3" s="36"/>
      <c r="L3" s="30"/>
      <c r="M3" s="30"/>
    </row>
    <row r="4" spans="1:16" ht="15" customHeight="1">
      <c r="A4" s="855"/>
      <c r="B4" s="31" t="s">
        <v>346</v>
      </c>
      <c r="C4" s="32" t="s">
        <v>259</v>
      </c>
      <c r="D4" s="33">
        <v>0.25</v>
      </c>
      <c r="E4" s="879"/>
      <c r="G4" s="146" t="s">
        <v>264</v>
      </c>
      <c r="H4" s="145">
        <v>500000</v>
      </c>
      <c r="K4" s="36"/>
      <c r="L4" s="30"/>
      <c r="M4" s="30"/>
      <c r="N4" s="876"/>
      <c r="O4" s="876"/>
      <c r="P4" s="819"/>
    </row>
    <row r="5" spans="1:16" ht="15" customHeight="1">
      <c r="A5" s="855"/>
      <c r="B5" s="31" t="s">
        <v>347</v>
      </c>
      <c r="C5" s="32" t="s">
        <v>261</v>
      </c>
      <c r="D5" s="33">
        <v>0.25</v>
      </c>
      <c r="E5" s="879"/>
      <c r="G5" s="34" t="s">
        <v>260</v>
      </c>
      <c r="H5" s="37" t="s">
        <v>631</v>
      </c>
      <c r="M5" s="54"/>
      <c r="N5" s="54"/>
      <c r="O5" s="820"/>
      <c r="P5" s="42"/>
    </row>
    <row r="6" spans="1:16" ht="15" customHeight="1">
      <c r="A6" s="855"/>
      <c r="B6" s="31" t="s">
        <v>348</v>
      </c>
      <c r="C6" s="32" t="s">
        <v>263</v>
      </c>
      <c r="D6" s="33">
        <v>0.25</v>
      </c>
      <c r="E6" s="879"/>
      <c r="G6" s="34" t="s">
        <v>262</v>
      </c>
      <c r="H6" s="37" t="s">
        <v>632</v>
      </c>
      <c r="M6" s="54"/>
      <c r="N6" s="54"/>
      <c r="O6" s="820"/>
      <c r="P6" s="42"/>
    </row>
    <row r="7" spans="1:16" ht="15" customHeight="1">
      <c r="A7" s="855"/>
      <c r="B7" s="31" t="s">
        <v>349</v>
      </c>
      <c r="C7" s="32"/>
      <c r="D7" s="33">
        <v>0</v>
      </c>
      <c r="E7" s="879"/>
      <c r="G7" s="178"/>
      <c r="H7" s="178"/>
      <c r="M7" s="54"/>
      <c r="N7" s="54"/>
      <c r="O7" s="820"/>
      <c r="P7" s="42"/>
    </row>
    <row r="8" spans="1:16" ht="15" customHeight="1">
      <c r="A8" s="855"/>
      <c r="B8" s="31" t="s">
        <v>350</v>
      </c>
      <c r="C8" s="32"/>
      <c r="D8" s="33">
        <v>0</v>
      </c>
      <c r="E8" s="879"/>
      <c r="M8" s="54"/>
      <c r="N8" s="54"/>
      <c r="O8" s="821"/>
      <c r="P8" s="822"/>
    </row>
    <row r="9" spans="1:16" ht="15" customHeight="1" thickBot="1">
      <c r="A9" s="856"/>
      <c r="B9" s="38" t="s">
        <v>265</v>
      </c>
      <c r="C9" s="39"/>
      <c r="D9" s="40">
        <f>SUM(D3:D8)</f>
        <v>1</v>
      </c>
      <c r="E9" s="880"/>
      <c r="M9" s="54"/>
      <c r="N9" s="54"/>
      <c r="O9" s="54"/>
      <c r="P9" s="54"/>
    </row>
    <row r="10" spans="1:16" ht="15" customHeight="1">
      <c r="B10" s="41"/>
      <c r="C10" s="41"/>
      <c r="D10" s="41"/>
      <c r="E10" s="42"/>
      <c r="F10" s="43"/>
      <c r="G10" s="44"/>
      <c r="K10" s="44"/>
    </row>
    <row r="11" spans="1:16" ht="15" customHeight="1">
      <c r="A11" s="21" t="s">
        <v>344</v>
      </c>
      <c r="B11" s="21"/>
      <c r="C11" s="22"/>
      <c r="D11" s="21"/>
      <c r="E11" s="45"/>
      <c r="F11" s="46"/>
      <c r="G11" s="44"/>
      <c r="H11" s="44"/>
      <c r="I11" s="44"/>
      <c r="J11" s="44"/>
      <c r="K11" s="44"/>
      <c r="M11" s="47"/>
    </row>
    <row r="12" spans="1:16" ht="19.5" customHeight="1">
      <c r="A12" s="860" t="s">
        <v>266</v>
      </c>
      <c r="B12" s="861"/>
      <c r="C12" s="48" t="s">
        <v>267</v>
      </c>
      <c r="D12" s="49" t="s">
        <v>268</v>
      </c>
      <c r="E12" s="48" t="s">
        <v>269</v>
      </c>
      <c r="F12" s="48" t="s">
        <v>270</v>
      </c>
      <c r="G12" s="48" t="s">
        <v>56</v>
      </c>
      <c r="H12" s="48" t="s">
        <v>57</v>
      </c>
      <c r="I12" s="48" t="s">
        <v>58</v>
      </c>
      <c r="J12" s="50" t="s">
        <v>59</v>
      </c>
      <c r="K12" s="50" t="s">
        <v>208</v>
      </c>
      <c r="L12" s="137" t="s">
        <v>209</v>
      </c>
      <c r="M12" s="23"/>
    </row>
    <row r="13" spans="1:16" ht="15" customHeight="1">
      <c r="A13" s="883" t="s">
        <v>376</v>
      </c>
      <c r="B13" s="847" t="s">
        <v>271</v>
      </c>
      <c r="C13" s="881" t="s">
        <v>272</v>
      </c>
      <c r="D13" s="882">
        <v>3</v>
      </c>
      <c r="E13" s="51" t="s">
        <v>273</v>
      </c>
      <c r="F13" s="51" t="s">
        <v>274</v>
      </c>
      <c r="G13" s="51" t="s">
        <v>275</v>
      </c>
      <c r="H13" s="51" t="s">
        <v>276</v>
      </c>
      <c r="I13" s="52"/>
      <c r="J13" s="53"/>
      <c r="K13" s="53"/>
      <c r="L13" s="118"/>
      <c r="M13" s="47"/>
    </row>
    <row r="14" spans="1:16" ht="15" customHeight="1">
      <c r="A14" s="884"/>
      <c r="B14" s="848"/>
      <c r="C14" s="877"/>
      <c r="D14" s="873"/>
      <c r="E14" s="55" t="s">
        <v>277</v>
      </c>
      <c r="F14" s="56">
        <v>3</v>
      </c>
      <c r="G14" s="56">
        <v>2.85</v>
      </c>
      <c r="H14" s="56">
        <v>2.7</v>
      </c>
      <c r="I14" s="57"/>
      <c r="J14" s="58"/>
      <c r="K14" s="58"/>
      <c r="L14" s="119"/>
      <c r="M14" s="47"/>
    </row>
    <row r="15" spans="1:16" ht="15" customHeight="1" thickBot="1">
      <c r="A15" s="884"/>
      <c r="B15" s="848"/>
      <c r="C15" s="877" t="s">
        <v>278</v>
      </c>
      <c r="D15" s="873">
        <f>IF($H$6="시행",4,5)</f>
        <v>5</v>
      </c>
      <c r="E15" s="59" t="s">
        <v>279</v>
      </c>
      <c r="F15" s="60">
        <v>17</v>
      </c>
      <c r="G15" s="60">
        <v>15</v>
      </c>
      <c r="H15" s="60">
        <v>13</v>
      </c>
      <c r="I15" s="60">
        <v>10</v>
      </c>
      <c r="J15" s="60">
        <v>9</v>
      </c>
      <c r="K15" s="61">
        <v>7</v>
      </c>
      <c r="L15" s="120">
        <v>7</v>
      </c>
      <c r="M15" s="62"/>
    </row>
    <row r="16" spans="1:16" ht="15" customHeight="1">
      <c r="A16" s="884"/>
      <c r="B16" s="848"/>
      <c r="C16" s="877"/>
      <c r="D16" s="873"/>
      <c r="E16" s="55" t="s">
        <v>277</v>
      </c>
      <c r="F16" s="56">
        <f>D15*N17</f>
        <v>5</v>
      </c>
      <c r="G16" s="56">
        <f>D15*N18</f>
        <v>5</v>
      </c>
      <c r="H16" s="56">
        <f>D15*N19</f>
        <v>4.5</v>
      </c>
      <c r="I16" s="56">
        <f>D15*N21</f>
        <v>4</v>
      </c>
      <c r="J16" s="56">
        <f>D15*N22</f>
        <v>3.5</v>
      </c>
      <c r="K16" s="63">
        <f>D15*N23</f>
        <v>3</v>
      </c>
      <c r="L16" s="121">
        <f>D15*N24</f>
        <v>2.5</v>
      </c>
      <c r="M16" s="64"/>
      <c r="N16" s="65" t="s">
        <v>280</v>
      </c>
      <c r="O16" s="66"/>
      <c r="P16" s="24" t="s">
        <v>281</v>
      </c>
    </row>
    <row r="17" spans="1:17" ht="15" customHeight="1">
      <c r="A17" s="884"/>
      <c r="B17" s="848"/>
      <c r="C17" s="894" t="s">
        <v>282</v>
      </c>
      <c r="D17" s="873">
        <f>IF($H$6="시행",4,5)</f>
        <v>5</v>
      </c>
      <c r="E17" s="59" t="s">
        <v>283</v>
      </c>
      <c r="F17" s="67">
        <v>15</v>
      </c>
      <c r="G17" s="67">
        <v>13</v>
      </c>
      <c r="H17" s="67">
        <v>11</v>
      </c>
      <c r="I17" s="67">
        <v>9</v>
      </c>
      <c r="J17" s="68">
        <v>9</v>
      </c>
      <c r="K17" s="69"/>
      <c r="L17" s="122"/>
      <c r="N17" s="70">
        <f>IF(H5="복잡",O17,1)</f>
        <v>1</v>
      </c>
      <c r="O17" s="71">
        <v>1</v>
      </c>
      <c r="P17" s="24" t="s">
        <v>284</v>
      </c>
      <c r="Q17" s="24" t="s">
        <v>285</v>
      </c>
    </row>
    <row r="18" spans="1:17" ht="15" customHeight="1">
      <c r="A18" s="884"/>
      <c r="B18" s="848"/>
      <c r="C18" s="899"/>
      <c r="D18" s="873"/>
      <c r="E18" s="55" t="s">
        <v>277</v>
      </c>
      <c r="F18" s="56">
        <f>D17*N17</f>
        <v>5</v>
      </c>
      <c r="G18" s="56">
        <f>D17*N18</f>
        <v>5</v>
      </c>
      <c r="H18" s="56">
        <f>D17*N19</f>
        <v>4.5</v>
      </c>
      <c r="I18" s="56">
        <f>D17*N21</f>
        <v>4</v>
      </c>
      <c r="J18" s="56">
        <f>D17*N22</f>
        <v>3.5</v>
      </c>
      <c r="K18" s="72"/>
      <c r="L18" s="122"/>
      <c r="N18" s="70">
        <f>IF(H5="복잡",O18,1)</f>
        <v>1</v>
      </c>
      <c r="O18" s="71">
        <v>0.9</v>
      </c>
      <c r="P18" s="24" t="s">
        <v>286</v>
      </c>
      <c r="Q18" s="24" t="s">
        <v>287</v>
      </c>
    </row>
    <row r="19" spans="1:17" ht="15" customHeight="1">
      <c r="A19" s="884"/>
      <c r="B19" s="848"/>
      <c r="C19" s="897" t="s">
        <v>288</v>
      </c>
      <c r="D19" s="857">
        <v>4</v>
      </c>
      <c r="E19" s="59" t="s">
        <v>289</v>
      </c>
      <c r="F19" s="59" t="s">
        <v>359</v>
      </c>
      <c r="G19" s="59" t="s">
        <v>290</v>
      </c>
      <c r="H19" s="73"/>
      <c r="I19" s="74"/>
      <c r="J19" s="74"/>
      <c r="K19" s="47"/>
      <c r="L19" s="122"/>
      <c r="N19" s="70">
        <f>IF(H5="복잡",O19,0.9)</f>
        <v>0.9</v>
      </c>
      <c r="O19" s="71">
        <v>0.8</v>
      </c>
    </row>
    <row r="20" spans="1:17" ht="15" customHeight="1">
      <c r="A20" s="884"/>
      <c r="B20" s="849"/>
      <c r="C20" s="898"/>
      <c r="D20" s="859"/>
      <c r="E20" s="123" t="s">
        <v>277</v>
      </c>
      <c r="F20" s="124">
        <f>D19</f>
        <v>4</v>
      </c>
      <c r="G20" s="124">
        <v>0</v>
      </c>
      <c r="H20" s="125"/>
      <c r="I20" s="126"/>
      <c r="J20" s="126"/>
      <c r="K20" s="45"/>
      <c r="L20" s="127"/>
      <c r="N20" s="70">
        <f>IF(H5="복잡",O20,0.8)</f>
        <v>0.8</v>
      </c>
      <c r="O20" s="71">
        <v>0</v>
      </c>
    </row>
    <row r="21" spans="1:17" ht="15" customHeight="1">
      <c r="A21" s="884"/>
      <c r="B21" s="867" t="s">
        <v>291</v>
      </c>
      <c r="C21" s="866" t="s">
        <v>272</v>
      </c>
      <c r="D21" s="852">
        <v>6</v>
      </c>
      <c r="E21" s="51" t="s">
        <v>273</v>
      </c>
      <c r="F21" s="51" t="s">
        <v>274</v>
      </c>
      <c r="G21" s="51" t="s">
        <v>275</v>
      </c>
      <c r="H21" s="51" t="s">
        <v>276</v>
      </c>
      <c r="I21" s="76" t="s">
        <v>292</v>
      </c>
      <c r="J21" s="77" t="s">
        <v>293</v>
      </c>
      <c r="K21" s="52"/>
      <c r="L21" s="118"/>
      <c r="N21" s="70">
        <f>IF(H5="복잡",O21,0.8)</f>
        <v>0.8</v>
      </c>
      <c r="O21" s="71">
        <v>0.7</v>
      </c>
    </row>
    <row r="22" spans="1:17" ht="15" customHeight="1">
      <c r="A22" s="884"/>
      <c r="B22" s="867"/>
      <c r="C22" s="863"/>
      <c r="D22" s="858"/>
      <c r="E22" s="55" t="s">
        <v>277</v>
      </c>
      <c r="F22" s="56">
        <f>D21*N17</f>
        <v>6</v>
      </c>
      <c r="G22" s="56">
        <f>D21*N17</f>
        <v>6</v>
      </c>
      <c r="H22" s="56">
        <f>D21*N18</f>
        <v>6</v>
      </c>
      <c r="I22" s="56">
        <f>D21*N19</f>
        <v>5.4</v>
      </c>
      <c r="J22" s="56">
        <f>D21*N20</f>
        <v>4.8000000000000007</v>
      </c>
      <c r="K22" s="54"/>
      <c r="L22" s="122"/>
      <c r="N22" s="70">
        <f>IF(H5="복잡",O22,0.7)</f>
        <v>0.7</v>
      </c>
      <c r="O22" s="71">
        <v>0.6</v>
      </c>
    </row>
    <row r="23" spans="1:17" ht="15" customHeight="1">
      <c r="A23" s="884"/>
      <c r="B23" s="867"/>
      <c r="C23" s="863"/>
      <c r="D23" s="858"/>
      <c r="E23" s="55" t="str">
        <f t="shared" ref="E23:E28" si="0">C3</f>
        <v>대기관리</v>
      </c>
      <c r="F23" s="116">
        <f>F22*$D$3</f>
        <v>1.5</v>
      </c>
      <c r="G23" s="116">
        <f>G22*$D$3</f>
        <v>1.5</v>
      </c>
      <c r="H23" s="116">
        <f>H22*$D$3</f>
        <v>1.5</v>
      </c>
      <c r="I23" s="116">
        <f>I22*$D$3</f>
        <v>1.35</v>
      </c>
      <c r="J23" s="116">
        <f>J22*$D$3</f>
        <v>1.2000000000000002</v>
      </c>
      <c r="K23" s="47"/>
      <c r="L23" s="122"/>
      <c r="N23" s="70">
        <f>IF(H5="복잡",O23,0.6)</f>
        <v>0.6</v>
      </c>
      <c r="O23" s="71">
        <v>0.5</v>
      </c>
    </row>
    <row r="24" spans="1:17" ht="15" customHeight="1" thickBot="1">
      <c r="A24" s="884"/>
      <c r="B24" s="867"/>
      <c r="C24" s="863"/>
      <c r="D24" s="858"/>
      <c r="E24" s="55" t="str">
        <f t="shared" si="0"/>
        <v>수질관리</v>
      </c>
      <c r="F24" s="116">
        <f>F22*$D$4</f>
        <v>1.5</v>
      </c>
      <c r="G24" s="116">
        <f>G22*$D$4</f>
        <v>1.5</v>
      </c>
      <c r="H24" s="116">
        <f>H22*$D$4</f>
        <v>1.5</v>
      </c>
      <c r="I24" s="116">
        <f>I22*$D$4</f>
        <v>1.35</v>
      </c>
      <c r="J24" s="116">
        <f>J22*$D$4</f>
        <v>1.2000000000000002</v>
      </c>
      <c r="K24" s="47"/>
      <c r="L24" s="122"/>
      <c r="N24" s="79">
        <f>IF(H5="복잡",O24,0.5)</f>
        <v>0.5</v>
      </c>
      <c r="O24" s="71">
        <v>0.4</v>
      </c>
    </row>
    <row r="25" spans="1:17" ht="15" customHeight="1">
      <c r="A25" s="884"/>
      <c r="B25" s="867"/>
      <c r="C25" s="863"/>
      <c r="D25" s="858"/>
      <c r="E25" s="55" t="str">
        <f t="shared" si="0"/>
        <v>소음진동</v>
      </c>
      <c r="F25" s="116">
        <f>F22*$D$5</f>
        <v>1.5</v>
      </c>
      <c r="G25" s="116">
        <f>G22*$D$5</f>
        <v>1.5</v>
      </c>
      <c r="H25" s="116">
        <f>H22*$D$5</f>
        <v>1.5</v>
      </c>
      <c r="I25" s="116">
        <f>I22*$D$5</f>
        <v>1.35</v>
      </c>
      <c r="J25" s="116">
        <f>J22*$D$5</f>
        <v>1.2000000000000002</v>
      </c>
      <c r="K25" s="47"/>
      <c r="L25" s="122"/>
    </row>
    <row r="26" spans="1:17" ht="15" customHeight="1">
      <c r="A26" s="884"/>
      <c r="B26" s="867"/>
      <c r="C26" s="863"/>
      <c r="D26" s="858"/>
      <c r="E26" s="55" t="str">
        <f t="shared" si="0"/>
        <v>폐기물처리</v>
      </c>
      <c r="F26" s="116">
        <f>F22*$D$6</f>
        <v>1.5</v>
      </c>
      <c r="G26" s="116">
        <f>G22*$D$6</f>
        <v>1.5</v>
      </c>
      <c r="H26" s="116">
        <f>H22*$D$6</f>
        <v>1.5</v>
      </c>
      <c r="I26" s="116">
        <f>I22*$D$6</f>
        <v>1.35</v>
      </c>
      <c r="J26" s="116">
        <f>J22*$D$6</f>
        <v>1.2000000000000002</v>
      </c>
      <c r="K26" s="47"/>
      <c r="L26" s="122"/>
    </row>
    <row r="27" spans="1:17" ht="15" customHeight="1">
      <c r="A27" s="884"/>
      <c r="B27" s="867"/>
      <c r="C27" s="863"/>
      <c r="D27" s="858"/>
      <c r="E27" s="55">
        <f t="shared" si="0"/>
        <v>0</v>
      </c>
      <c r="F27" s="116">
        <f>F22*$D$7</f>
        <v>0</v>
      </c>
      <c r="G27" s="116">
        <f>G22*$D$7</f>
        <v>0</v>
      </c>
      <c r="H27" s="116">
        <f>H22*$D$7</f>
        <v>0</v>
      </c>
      <c r="I27" s="116">
        <f>I22*$D$7</f>
        <v>0</v>
      </c>
      <c r="J27" s="116">
        <f>J22*$D$7</f>
        <v>0</v>
      </c>
      <c r="K27" s="47"/>
      <c r="L27" s="122"/>
    </row>
    <row r="28" spans="1:17" ht="15" customHeight="1">
      <c r="A28" s="884"/>
      <c r="B28" s="867"/>
      <c r="C28" s="865"/>
      <c r="D28" s="853"/>
      <c r="E28" s="55">
        <f t="shared" si="0"/>
        <v>0</v>
      </c>
      <c r="F28" s="116">
        <f>F22*$D$8</f>
        <v>0</v>
      </c>
      <c r="G28" s="116">
        <f>G22*$D$8</f>
        <v>0</v>
      </c>
      <c r="H28" s="116">
        <f>H22*$D$8</f>
        <v>0</v>
      </c>
      <c r="I28" s="116">
        <f>I22*$D$8</f>
        <v>0</v>
      </c>
      <c r="J28" s="116">
        <f>J22*$D$8</f>
        <v>0</v>
      </c>
      <c r="K28" s="47"/>
      <c r="L28" s="122"/>
    </row>
    <row r="29" spans="1:17" ht="15" customHeight="1">
      <c r="A29" s="884"/>
      <c r="B29" s="867"/>
      <c r="C29" s="862" t="s">
        <v>278</v>
      </c>
      <c r="D29" s="857">
        <v>7</v>
      </c>
      <c r="E29" s="59" t="s">
        <v>279</v>
      </c>
      <c r="F29" s="60">
        <v>17</v>
      </c>
      <c r="G29" s="60">
        <v>15</v>
      </c>
      <c r="H29" s="60">
        <v>13</v>
      </c>
      <c r="I29" s="60">
        <v>10</v>
      </c>
      <c r="J29" s="60">
        <v>9</v>
      </c>
      <c r="K29" s="61">
        <v>7</v>
      </c>
      <c r="L29" s="120">
        <v>7</v>
      </c>
      <c r="M29" s="62"/>
    </row>
    <row r="30" spans="1:17" ht="15" customHeight="1">
      <c r="A30" s="884"/>
      <c r="B30" s="867"/>
      <c r="C30" s="863"/>
      <c r="D30" s="858"/>
      <c r="E30" s="55" t="s">
        <v>277</v>
      </c>
      <c r="F30" s="80">
        <f>D29*N17</f>
        <v>7</v>
      </c>
      <c r="G30" s="80">
        <f>D29*N17</f>
        <v>7</v>
      </c>
      <c r="H30" s="80">
        <f>D29*N18</f>
        <v>7</v>
      </c>
      <c r="I30" s="80">
        <f>D29*N19</f>
        <v>6.3</v>
      </c>
      <c r="J30" s="81">
        <f>D29*N21</f>
        <v>5.6000000000000005</v>
      </c>
      <c r="K30" s="81">
        <f>D29*N22</f>
        <v>4.8999999999999995</v>
      </c>
      <c r="L30" s="128">
        <f>D29*N23</f>
        <v>4.2</v>
      </c>
      <c r="M30" s="64"/>
    </row>
    <row r="31" spans="1:17" ht="15" customHeight="1">
      <c r="A31" s="884"/>
      <c r="B31" s="867"/>
      <c r="C31" s="863"/>
      <c r="D31" s="858"/>
      <c r="E31" s="55" t="str">
        <f t="shared" ref="E31:E36" si="1">E23</f>
        <v>대기관리</v>
      </c>
      <c r="F31" s="108">
        <f t="shared" ref="F31:L31" si="2">F30*$D$3</f>
        <v>1.75</v>
      </c>
      <c r="G31" s="108">
        <f t="shared" si="2"/>
        <v>1.75</v>
      </c>
      <c r="H31" s="108">
        <f t="shared" si="2"/>
        <v>1.75</v>
      </c>
      <c r="I31" s="108">
        <f t="shared" si="2"/>
        <v>1.575</v>
      </c>
      <c r="J31" s="91">
        <f t="shared" si="2"/>
        <v>1.4000000000000001</v>
      </c>
      <c r="K31" s="91">
        <f t="shared" si="2"/>
        <v>1.2249999999999999</v>
      </c>
      <c r="L31" s="129">
        <f t="shared" si="2"/>
        <v>1.05</v>
      </c>
      <c r="M31" s="72"/>
    </row>
    <row r="32" spans="1:17" ht="15" customHeight="1">
      <c r="A32" s="884"/>
      <c r="B32" s="867"/>
      <c r="C32" s="863"/>
      <c r="D32" s="858"/>
      <c r="E32" s="96" t="str">
        <f t="shared" si="1"/>
        <v>수질관리</v>
      </c>
      <c r="F32" s="108">
        <f t="shared" ref="F32:L32" si="3">F30*$D$4</f>
        <v>1.75</v>
      </c>
      <c r="G32" s="108">
        <f t="shared" si="3"/>
        <v>1.75</v>
      </c>
      <c r="H32" s="108">
        <f t="shared" si="3"/>
        <v>1.75</v>
      </c>
      <c r="I32" s="108">
        <f t="shared" si="3"/>
        <v>1.575</v>
      </c>
      <c r="J32" s="91">
        <f t="shared" si="3"/>
        <v>1.4000000000000001</v>
      </c>
      <c r="K32" s="91">
        <f t="shared" si="3"/>
        <v>1.2249999999999999</v>
      </c>
      <c r="L32" s="129">
        <f t="shared" si="3"/>
        <v>1.05</v>
      </c>
      <c r="M32" s="72"/>
    </row>
    <row r="33" spans="1:13" ht="15" customHeight="1">
      <c r="A33" s="884"/>
      <c r="B33" s="867"/>
      <c r="C33" s="863"/>
      <c r="D33" s="858"/>
      <c r="E33" s="96" t="str">
        <f t="shared" si="1"/>
        <v>소음진동</v>
      </c>
      <c r="F33" s="108">
        <f t="shared" ref="F33:L33" si="4">F30*$D$5</f>
        <v>1.75</v>
      </c>
      <c r="G33" s="108">
        <f t="shared" si="4"/>
        <v>1.75</v>
      </c>
      <c r="H33" s="108">
        <f t="shared" si="4"/>
        <v>1.75</v>
      </c>
      <c r="I33" s="108">
        <f t="shared" si="4"/>
        <v>1.575</v>
      </c>
      <c r="J33" s="91">
        <f t="shared" si="4"/>
        <v>1.4000000000000001</v>
      </c>
      <c r="K33" s="91">
        <f t="shared" si="4"/>
        <v>1.2249999999999999</v>
      </c>
      <c r="L33" s="129">
        <f t="shared" si="4"/>
        <v>1.05</v>
      </c>
      <c r="M33" s="72"/>
    </row>
    <row r="34" spans="1:13" ht="15" customHeight="1">
      <c r="A34" s="884"/>
      <c r="B34" s="867"/>
      <c r="C34" s="863"/>
      <c r="D34" s="858"/>
      <c r="E34" s="96" t="str">
        <f t="shared" si="1"/>
        <v>폐기물처리</v>
      </c>
      <c r="F34" s="108">
        <f t="shared" ref="F34:L34" si="5">F30*$D$6</f>
        <v>1.75</v>
      </c>
      <c r="G34" s="108">
        <f t="shared" si="5"/>
        <v>1.75</v>
      </c>
      <c r="H34" s="108">
        <f t="shared" si="5"/>
        <v>1.75</v>
      </c>
      <c r="I34" s="108">
        <f t="shared" si="5"/>
        <v>1.575</v>
      </c>
      <c r="J34" s="91">
        <f t="shared" si="5"/>
        <v>1.4000000000000001</v>
      </c>
      <c r="K34" s="91">
        <f t="shared" si="5"/>
        <v>1.2249999999999999</v>
      </c>
      <c r="L34" s="129">
        <f t="shared" si="5"/>
        <v>1.05</v>
      </c>
      <c r="M34" s="72"/>
    </row>
    <row r="35" spans="1:13" ht="15" customHeight="1">
      <c r="A35" s="884"/>
      <c r="B35" s="867"/>
      <c r="C35" s="863"/>
      <c r="D35" s="858"/>
      <c r="E35" s="96">
        <f t="shared" si="1"/>
        <v>0</v>
      </c>
      <c r="F35" s="108">
        <f t="shared" ref="F35:L35" si="6">F30*$D$7</f>
        <v>0</v>
      </c>
      <c r="G35" s="108">
        <f t="shared" si="6"/>
        <v>0</v>
      </c>
      <c r="H35" s="108">
        <f t="shared" si="6"/>
        <v>0</v>
      </c>
      <c r="I35" s="108">
        <f t="shared" si="6"/>
        <v>0</v>
      </c>
      <c r="J35" s="91">
        <f t="shared" si="6"/>
        <v>0</v>
      </c>
      <c r="K35" s="91">
        <f t="shared" si="6"/>
        <v>0</v>
      </c>
      <c r="L35" s="129">
        <f t="shared" si="6"/>
        <v>0</v>
      </c>
      <c r="M35" s="72"/>
    </row>
    <row r="36" spans="1:13" ht="15" customHeight="1">
      <c r="A36" s="884"/>
      <c r="B36" s="867"/>
      <c r="C36" s="865"/>
      <c r="D36" s="853"/>
      <c r="E36" s="96">
        <f t="shared" si="1"/>
        <v>0</v>
      </c>
      <c r="F36" s="108">
        <f t="shared" ref="F36:L36" si="7">F30*$D$8</f>
        <v>0</v>
      </c>
      <c r="G36" s="108">
        <f t="shared" si="7"/>
        <v>0</v>
      </c>
      <c r="H36" s="108">
        <f t="shared" si="7"/>
        <v>0</v>
      </c>
      <c r="I36" s="108">
        <f t="shared" si="7"/>
        <v>0</v>
      </c>
      <c r="J36" s="91">
        <f t="shared" si="7"/>
        <v>0</v>
      </c>
      <c r="K36" s="91">
        <f t="shared" si="7"/>
        <v>0</v>
      </c>
      <c r="L36" s="129">
        <f t="shared" si="7"/>
        <v>0</v>
      </c>
      <c r="M36" s="72"/>
    </row>
    <row r="37" spans="1:13" ht="15" customHeight="1">
      <c r="A37" s="884"/>
      <c r="B37" s="867"/>
      <c r="C37" s="862" t="s">
        <v>294</v>
      </c>
      <c r="D37" s="857">
        <v>7</v>
      </c>
      <c r="E37" s="59" t="s">
        <v>283</v>
      </c>
      <c r="F37" s="67">
        <v>15</v>
      </c>
      <c r="G37" s="67">
        <v>13</v>
      </c>
      <c r="H37" s="67">
        <v>11</v>
      </c>
      <c r="I37" s="67">
        <v>9</v>
      </c>
      <c r="J37" s="68">
        <v>9</v>
      </c>
      <c r="K37" s="82"/>
      <c r="L37" s="122"/>
    </row>
    <row r="38" spans="1:13" ht="15" customHeight="1">
      <c r="A38" s="884"/>
      <c r="B38" s="867"/>
      <c r="C38" s="863"/>
      <c r="D38" s="858"/>
      <c r="E38" s="55" t="s">
        <v>277</v>
      </c>
      <c r="F38" s="56">
        <f>D37*N17</f>
        <v>7</v>
      </c>
      <c r="G38" s="56">
        <f>D37*N18</f>
        <v>7</v>
      </c>
      <c r="H38" s="56">
        <f>D37*N19</f>
        <v>6.3</v>
      </c>
      <c r="I38" s="56">
        <f>D37*N21</f>
        <v>5.6000000000000005</v>
      </c>
      <c r="J38" s="56">
        <f>D37*N22</f>
        <v>4.8999999999999995</v>
      </c>
      <c r="K38" s="83"/>
      <c r="L38" s="122"/>
    </row>
    <row r="39" spans="1:13" ht="15" customHeight="1">
      <c r="A39" s="884"/>
      <c r="B39" s="867"/>
      <c r="C39" s="863"/>
      <c r="D39" s="858"/>
      <c r="E39" s="96" t="str">
        <f t="shared" ref="E39:E44" si="8">E23</f>
        <v>대기관리</v>
      </c>
      <c r="F39" s="108">
        <f>F38*$D$3</f>
        <v>1.75</v>
      </c>
      <c r="G39" s="108">
        <f>G38*$D$3</f>
        <v>1.75</v>
      </c>
      <c r="H39" s="108">
        <f>H38*$D$3</f>
        <v>1.575</v>
      </c>
      <c r="I39" s="108">
        <f>I38*$D$3</f>
        <v>1.4000000000000001</v>
      </c>
      <c r="J39" s="91">
        <f>J38*$D$3</f>
        <v>1.2249999999999999</v>
      </c>
      <c r="K39" s="84"/>
      <c r="L39" s="122"/>
    </row>
    <row r="40" spans="1:13" ht="15" customHeight="1">
      <c r="A40" s="884"/>
      <c r="B40" s="867"/>
      <c r="C40" s="863"/>
      <c r="D40" s="858"/>
      <c r="E40" s="96" t="str">
        <f t="shared" si="8"/>
        <v>수질관리</v>
      </c>
      <c r="F40" s="108">
        <f>F38*$D$4</f>
        <v>1.75</v>
      </c>
      <c r="G40" s="108">
        <f>G38*$D$4</f>
        <v>1.75</v>
      </c>
      <c r="H40" s="108">
        <f>H38*$D$4</f>
        <v>1.575</v>
      </c>
      <c r="I40" s="108">
        <f>I38*$D$4</f>
        <v>1.4000000000000001</v>
      </c>
      <c r="J40" s="91">
        <f>J38*$D$4</f>
        <v>1.2249999999999999</v>
      </c>
      <c r="K40" s="84"/>
      <c r="L40" s="122"/>
    </row>
    <row r="41" spans="1:13" ht="15" customHeight="1">
      <c r="A41" s="884"/>
      <c r="B41" s="867"/>
      <c r="C41" s="863"/>
      <c r="D41" s="858"/>
      <c r="E41" s="96" t="str">
        <f t="shared" si="8"/>
        <v>소음진동</v>
      </c>
      <c r="F41" s="108">
        <f>F38*$D$5</f>
        <v>1.75</v>
      </c>
      <c r="G41" s="108">
        <f>G38*$D$5</f>
        <v>1.75</v>
      </c>
      <c r="H41" s="108">
        <f>H38*$D$5</f>
        <v>1.575</v>
      </c>
      <c r="I41" s="108">
        <f>I38*$D$5</f>
        <v>1.4000000000000001</v>
      </c>
      <c r="J41" s="91">
        <f>J38*$D$5</f>
        <v>1.2249999999999999</v>
      </c>
      <c r="K41" s="84"/>
      <c r="L41" s="122"/>
    </row>
    <row r="42" spans="1:13" ht="15" customHeight="1">
      <c r="A42" s="884"/>
      <c r="B42" s="867"/>
      <c r="C42" s="863"/>
      <c r="D42" s="858"/>
      <c r="E42" s="96" t="str">
        <f t="shared" si="8"/>
        <v>폐기물처리</v>
      </c>
      <c r="F42" s="108">
        <f>F38*$D$6</f>
        <v>1.75</v>
      </c>
      <c r="G42" s="108">
        <f>G38*$D$6</f>
        <v>1.75</v>
      </c>
      <c r="H42" s="108">
        <f>H38*$D$6</f>
        <v>1.575</v>
      </c>
      <c r="I42" s="108">
        <f>I38*$D$6</f>
        <v>1.4000000000000001</v>
      </c>
      <c r="J42" s="91">
        <f>J38*$D$6</f>
        <v>1.2249999999999999</v>
      </c>
      <c r="K42" s="84"/>
      <c r="L42" s="122"/>
    </row>
    <row r="43" spans="1:13" ht="15" customHeight="1">
      <c r="A43" s="884"/>
      <c r="B43" s="867"/>
      <c r="C43" s="863"/>
      <c r="D43" s="858"/>
      <c r="E43" s="96">
        <f t="shared" si="8"/>
        <v>0</v>
      </c>
      <c r="F43" s="108">
        <f>F38*$D$7</f>
        <v>0</v>
      </c>
      <c r="G43" s="108">
        <f>G38*$D$7</f>
        <v>0</v>
      </c>
      <c r="H43" s="108">
        <f>H38*$D$7</f>
        <v>0</v>
      </c>
      <c r="I43" s="108">
        <f>I38*$D$7</f>
        <v>0</v>
      </c>
      <c r="J43" s="91">
        <f>J38*$D$7</f>
        <v>0</v>
      </c>
      <c r="K43" s="84"/>
      <c r="L43" s="122"/>
    </row>
    <row r="44" spans="1:13" ht="15" customHeight="1">
      <c r="A44" s="884"/>
      <c r="B44" s="867"/>
      <c r="C44" s="865"/>
      <c r="D44" s="853"/>
      <c r="E44" s="96">
        <f t="shared" si="8"/>
        <v>0</v>
      </c>
      <c r="F44" s="108">
        <f>F38*$D$8</f>
        <v>0</v>
      </c>
      <c r="G44" s="108">
        <f>G38*$D$8</f>
        <v>0</v>
      </c>
      <c r="H44" s="108">
        <f>H38*$D$8</f>
        <v>0</v>
      </c>
      <c r="I44" s="108">
        <f>I38*$D$8</f>
        <v>0</v>
      </c>
      <c r="J44" s="91">
        <f>J38*$D$8</f>
        <v>0</v>
      </c>
      <c r="K44" s="84"/>
      <c r="L44" s="122"/>
    </row>
    <row r="45" spans="1:13" ht="15" customHeight="1">
      <c r="A45" s="884"/>
      <c r="B45" s="85"/>
      <c r="C45" s="862" t="s">
        <v>288</v>
      </c>
      <c r="D45" s="857">
        <v>7</v>
      </c>
      <c r="E45" s="59" t="s">
        <v>283</v>
      </c>
      <c r="F45" s="59" t="s">
        <v>359</v>
      </c>
      <c r="G45" s="59" t="s">
        <v>295</v>
      </c>
      <c r="H45" s="86"/>
      <c r="I45" s="87"/>
      <c r="J45" s="87"/>
      <c r="K45" s="72"/>
      <c r="L45" s="122"/>
    </row>
    <row r="46" spans="1:13" ht="15" customHeight="1">
      <c r="A46" s="884"/>
      <c r="B46" s="85"/>
      <c r="C46" s="863"/>
      <c r="D46" s="858"/>
      <c r="E46" s="55" t="s">
        <v>277</v>
      </c>
      <c r="F46" s="75">
        <f>D45</f>
        <v>7</v>
      </c>
      <c r="G46" s="75">
        <v>0</v>
      </c>
      <c r="H46" s="84"/>
      <c r="I46" s="72"/>
      <c r="J46" s="72"/>
      <c r="K46" s="72"/>
      <c r="L46" s="122"/>
    </row>
    <row r="47" spans="1:13" ht="15" customHeight="1">
      <c r="A47" s="884"/>
      <c r="B47" s="85"/>
      <c r="C47" s="863"/>
      <c r="D47" s="858"/>
      <c r="E47" s="96" t="str">
        <f t="shared" ref="E47:E52" si="9">E31</f>
        <v>대기관리</v>
      </c>
      <c r="F47" s="117">
        <f>F46*$D$3</f>
        <v>1.75</v>
      </c>
      <c r="G47" s="117">
        <f>G46*$D$3</f>
        <v>0</v>
      </c>
      <c r="H47" s="84"/>
      <c r="I47" s="72"/>
      <c r="J47" s="72"/>
      <c r="K47" s="72"/>
      <c r="L47" s="122"/>
    </row>
    <row r="48" spans="1:13" ht="15" customHeight="1">
      <c r="A48" s="884"/>
      <c r="B48" s="85"/>
      <c r="C48" s="863"/>
      <c r="D48" s="858"/>
      <c r="E48" s="96" t="str">
        <f t="shared" si="9"/>
        <v>수질관리</v>
      </c>
      <c r="F48" s="117">
        <f>F46*$D$4</f>
        <v>1.75</v>
      </c>
      <c r="G48" s="117">
        <f>G46*$D$4</f>
        <v>0</v>
      </c>
      <c r="H48" s="84"/>
      <c r="I48" s="72"/>
      <c r="J48" s="72"/>
      <c r="K48" s="72"/>
      <c r="L48" s="122"/>
    </row>
    <row r="49" spans="1:13" ht="15" customHeight="1">
      <c r="A49" s="884"/>
      <c r="B49" s="85"/>
      <c r="C49" s="863"/>
      <c r="D49" s="858"/>
      <c r="E49" s="96" t="str">
        <f t="shared" si="9"/>
        <v>소음진동</v>
      </c>
      <c r="F49" s="117">
        <f>F46*$D$5</f>
        <v>1.75</v>
      </c>
      <c r="G49" s="117">
        <f>G46*$D$5</f>
        <v>0</v>
      </c>
      <c r="H49" s="84"/>
      <c r="I49" s="72"/>
      <c r="J49" s="72"/>
      <c r="K49" s="72"/>
      <c r="L49" s="122"/>
    </row>
    <row r="50" spans="1:13" ht="15" customHeight="1">
      <c r="A50" s="884"/>
      <c r="B50" s="85"/>
      <c r="C50" s="863"/>
      <c r="D50" s="858"/>
      <c r="E50" s="96" t="str">
        <f t="shared" si="9"/>
        <v>폐기물처리</v>
      </c>
      <c r="F50" s="117">
        <f>F46*$D$6</f>
        <v>1.75</v>
      </c>
      <c r="G50" s="117">
        <f>G46*$D$6</f>
        <v>0</v>
      </c>
      <c r="H50" s="84"/>
      <c r="I50" s="72"/>
      <c r="J50" s="72"/>
      <c r="K50" s="72"/>
      <c r="L50" s="122"/>
    </row>
    <row r="51" spans="1:13" ht="15" customHeight="1">
      <c r="A51" s="884"/>
      <c r="B51" s="85"/>
      <c r="C51" s="863"/>
      <c r="D51" s="858"/>
      <c r="E51" s="96">
        <f t="shared" si="9"/>
        <v>0</v>
      </c>
      <c r="F51" s="117">
        <f>F46*$D$7</f>
        <v>0</v>
      </c>
      <c r="G51" s="117">
        <f>G46*$D$7</f>
        <v>0</v>
      </c>
      <c r="H51" s="84"/>
      <c r="I51" s="72"/>
      <c r="J51" s="72"/>
      <c r="K51" s="72"/>
      <c r="L51" s="122"/>
    </row>
    <row r="52" spans="1:13" ht="15" customHeight="1">
      <c r="A52" s="884"/>
      <c r="B52" s="88"/>
      <c r="C52" s="864"/>
      <c r="D52" s="859"/>
      <c r="E52" s="130">
        <f t="shared" si="9"/>
        <v>0</v>
      </c>
      <c r="F52" s="131">
        <f>F46*$D$8</f>
        <v>0</v>
      </c>
      <c r="G52" s="131">
        <f>G46*$D$8</f>
        <v>0</v>
      </c>
      <c r="H52" s="89"/>
      <c r="I52" s="90"/>
      <c r="J52" s="90"/>
      <c r="K52" s="90"/>
      <c r="L52" s="127"/>
    </row>
    <row r="53" spans="1:13" ht="15" customHeight="1">
      <c r="A53" s="884"/>
      <c r="B53" s="886" t="s">
        <v>296</v>
      </c>
      <c r="C53" s="866" t="s">
        <v>272</v>
      </c>
      <c r="D53" s="852">
        <v>5</v>
      </c>
      <c r="E53" s="51" t="s">
        <v>273</v>
      </c>
      <c r="F53" s="51" t="s">
        <v>274</v>
      </c>
      <c r="G53" s="51" t="s">
        <v>275</v>
      </c>
      <c r="H53" s="51" t="s">
        <v>276</v>
      </c>
      <c r="I53" s="76" t="s">
        <v>292</v>
      </c>
      <c r="J53" s="77" t="s">
        <v>293</v>
      </c>
      <c r="K53" s="77" t="s">
        <v>297</v>
      </c>
      <c r="L53" s="118"/>
    </row>
    <row r="54" spans="1:13" ht="15" customHeight="1">
      <c r="A54" s="884"/>
      <c r="B54" s="867"/>
      <c r="C54" s="863"/>
      <c r="D54" s="858"/>
      <c r="E54" s="55" t="s">
        <v>277</v>
      </c>
      <c r="F54" s="80">
        <f>D53*N17</f>
        <v>5</v>
      </c>
      <c r="G54" s="80">
        <f>D53*N17</f>
        <v>5</v>
      </c>
      <c r="H54" s="80">
        <f>D53*N17</f>
        <v>5</v>
      </c>
      <c r="I54" s="80">
        <f>D53*N17</f>
        <v>5</v>
      </c>
      <c r="J54" s="80">
        <f>D53*N18</f>
        <v>5</v>
      </c>
      <c r="K54" s="81">
        <f>D53*N19</f>
        <v>4.5</v>
      </c>
      <c r="L54" s="122"/>
    </row>
    <row r="55" spans="1:13" ht="15" customHeight="1">
      <c r="A55" s="884"/>
      <c r="B55" s="867"/>
      <c r="C55" s="863"/>
      <c r="D55" s="858"/>
      <c r="E55" s="55" t="str">
        <f t="shared" ref="E55:E60" si="10">E23</f>
        <v>대기관리</v>
      </c>
      <c r="F55" s="113">
        <f t="shared" ref="F55:K55" si="11">F54*$D$3</f>
        <v>1.25</v>
      </c>
      <c r="G55" s="113">
        <f t="shared" si="11"/>
        <v>1.25</v>
      </c>
      <c r="H55" s="113">
        <f t="shared" si="11"/>
        <v>1.25</v>
      </c>
      <c r="I55" s="113">
        <f t="shared" si="11"/>
        <v>1.25</v>
      </c>
      <c r="J55" s="113">
        <f t="shared" si="11"/>
        <v>1.25</v>
      </c>
      <c r="K55" s="114">
        <f t="shared" si="11"/>
        <v>1.125</v>
      </c>
      <c r="L55" s="122"/>
    </row>
    <row r="56" spans="1:13" ht="15" customHeight="1">
      <c r="A56" s="884"/>
      <c r="B56" s="867"/>
      <c r="C56" s="863"/>
      <c r="D56" s="858"/>
      <c r="E56" s="55" t="str">
        <f t="shared" si="10"/>
        <v>수질관리</v>
      </c>
      <c r="F56" s="113">
        <f t="shared" ref="F56:K56" si="12">F54*$D$4</f>
        <v>1.25</v>
      </c>
      <c r="G56" s="113">
        <f t="shared" si="12"/>
        <v>1.25</v>
      </c>
      <c r="H56" s="113">
        <f t="shared" si="12"/>
        <v>1.25</v>
      </c>
      <c r="I56" s="113">
        <f t="shared" si="12"/>
        <v>1.25</v>
      </c>
      <c r="J56" s="113">
        <f t="shared" si="12"/>
        <v>1.25</v>
      </c>
      <c r="K56" s="114">
        <f t="shared" si="12"/>
        <v>1.125</v>
      </c>
      <c r="L56" s="122"/>
    </row>
    <row r="57" spans="1:13" ht="15" customHeight="1">
      <c r="A57" s="884"/>
      <c r="B57" s="867"/>
      <c r="C57" s="863"/>
      <c r="D57" s="858"/>
      <c r="E57" s="55" t="str">
        <f t="shared" si="10"/>
        <v>소음진동</v>
      </c>
      <c r="F57" s="113">
        <f t="shared" ref="F57:K57" si="13">F54*$D$5</f>
        <v>1.25</v>
      </c>
      <c r="G57" s="113">
        <f t="shared" si="13"/>
        <v>1.25</v>
      </c>
      <c r="H57" s="113">
        <f t="shared" si="13"/>
        <v>1.25</v>
      </c>
      <c r="I57" s="113">
        <f t="shared" si="13"/>
        <v>1.25</v>
      </c>
      <c r="J57" s="113">
        <f t="shared" si="13"/>
        <v>1.25</v>
      </c>
      <c r="K57" s="114">
        <f t="shared" si="13"/>
        <v>1.125</v>
      </c>
      <c r="L57" s="122"/>
    </row>
    <row r="58" spans="1:13" ht="15" customHeight="1">
      <c r="A58" s="884"/>
      <c r="B58" s="867"/>
      <c r="C58" s="863"/>
      <c r="D58" s="858"/>
      <c r="E58" s="55" t="str">
        <f t="shared" si="10"/>
        <v>폐기물처리</v>
      </c>
      <c r="F58" s="113">
        <f t="shared" ref="F58:K58" si="14">F54*$D$6</f>
        <v>1.25</v>
      </c>
      <c r="G58" s="113">
        <f t="shared" si="14"/>
        <v>1.25</v>
      </c>
      <c r="H58" s="113">
        <f t="shared" si="14"/>
        <v>1.25</v>
      </c>
      <c r="I58" s="113">
        <f t="shared" si="14"/>
        <v>1.25</v>
      </c>
      <c r="J58" s="113">
        <f t="shared" si="14"/>
        <v>1.25</v>
      </c>
      <c r="K58" s="114">
        <f t="shared" si="14"/>
        <v>1.125</v>
      </c>
      <c r="L58" s="122"/>
    </row>
    <row r="59" spans="1:13" ht="15" customHeight="1">
      <c r="A59" s="884"/>
      <c r="B59" s="867"/>
      <c r="C59" s="863"/>
      <c r="D59" s="858"/>
      <c r="E59" s="55">
        <f t="shared" si="10"/>
        <v>0</v>
      </c>
      <c r="F59" s="113">
        <f t="shared" ref="F59:K59" si="15">F54*$D$7</f>
        <v>0</v>
      </c>
      <c r="G59" s="113">
        <f t="shared" si="15"/>
        <v>0</v>
      </c>
      <c r="H59" s="113">
        <f t="shared" si="15"/>
        <v>0</v>
      </c>
      <c r="I59" s="113">
        <f t="shared" si="15"/>
        <v>0</v>
      </c>
      <c r="J59" s="113">
        <f t="shared" si="15"/>
        <v>0</v>
      </c>
      <c r="K59" s="114">
        <f t="shared" si="15"/>
        <v>0</v>
      </c>
      <c r="L59" s="122"/>
    </row>
    <row r="60" spans="1:13" ht="15" customHeight="1">
      <c r="A60" s="884"/>
      <c r="B60" s="867"/>
      <c r="C60" s="865"/>
      <c r="D60" s="853"/>
      <c r="E60" s="55">
        <f t="shared" si="10"/>
        <v>0</v>
      </c>
      <c r="F60" s="113">
        <f t="shared" ref="F60:K60" si="16">F54*$D$8</f>
        <v>0</v>
      </c>
      <c r="G60" s="113">
        <f t="shared" si="16"/>
        <v>0</v>
      </c>
      <c r="H60" s="113">
        <f t="shared" si="16"/>
        <v>0</v>
      </c>
      <c r="I60" s="113">
        <f t="shared" si="16"/>
        <v>0</v>
      </c>
      <c r="J60" s="113">
        <f t="shared" si="16"/>
        <v>0</v>
      </c>
      <c r="K60" s="114">
        <f t="shared" si="16"/>
        <v>0</v>
      </c>
      <c r="L60" s="122"/>
    </row>
    <row r="61" spans="1:13" ht="15" customHeight="1">
      <c r="A61" s="884"/>
      <c r="B61" s="867"/>
      <c r="C61" s="862" t="s">
        <v>278</v>
      </c>
      <c r="D61" s="857">
        <v>6</v>
      </c>
      <c r="E61" s="59" t="s">
        <v>279</v>
      </c>
      <c r="F61" s="60">
        <v>17</v>
      </c>
      <c r="G61" s="60">
        <v>15</v>
      </c>
      <c r="H61" s="60">
        <v>13</v>
      </c>
      <c r="I61" s="60">
        <v>10</v>
      </c>
      <c r="J61" s="60">
        <v>9</v>
      </c>
      <c r="K61" s="61">
        <v>7</v>
      </c>
      <c r="L61" s="120">
        <v>7</v>
      </c>
      <c r="M61" s="62"/>
    </row>
    <row r="62" spans="1:13" ht="15" customHeight="1">
      <c r="A62" s="884"/>
      <c r="B62" s="867"/>
      <c r="C62" s="863"/>
      <c r="D62" s="858"/>
      <c r="E62" s="55" t="s">
        <v>277</v>
      </c>
      <c r="F62" s="80">
        <f>D61*N17</f>
        <v>6</v>
      </c>
      <c r="G62" s="80">
        <f>D61*N17</f>
        <v>6</v>
      </c>
      <c r="H62" s="80">
        <f>D61*N17</f>
        <v>6</v>
      </c>
      <c r="I62" s="80">
        <f>D61*N17</f>
        <v>6</v>
      </c>
      <c r="J62" s="81">
        <f>D61*N18</f>
        <v>6</v>
      </c>
      <c r="K62" s="81">
        <f>D61*N19</f>
        <v>5.4</v>
      </c>
      <c r="L62" s="128">
        <f>D61*N21</f>
        <v>4.8000000000000007</v>
      </c>
      <c r="M62" s="64"/>
    </row>
    <row r="63" spans="1:13" ht="15" customHeight="1">
      <c r="A63" s="884"/>
      <c r="B63" s="867"/>
      <c r="C63" s="863"/>
      <c r="D63" s="858"/>
      <c r="E63" s="55" t="str">
        <f t="shared" ref="E63:E68" si="17">E55</f>
        <v>대기관리</v>
      </c>
      <c r="F63" s="108">
        <f t="shared" ref="F63:L63" si="18">F62*$D$3</f>
        <v>1.5</v>
      </c>
      <c r="G63" s="108">
        <f t="shared" si="18"/>
        <v>1.5</v>
      </c>
      <c r="H63" s="108">
        <f t="shared" si="18"/>
        <v>1.5</v>
      </c>
      <c r="I63" s="108">
        <f t="shared" si="18"/>
        <v>1.5</v>
      </c>
      <c r="J63" s="91">
        <f t="shared" si="18"/>
        <v>1.5</v>
      </c>
      <c r="K63" s="91">
        <f t="shared" si="18"/>
        <v>1.35</v>
      </c>
      <c r="L63" s="129">
        <f t="shared" si="18"/>
        <v>1.2000000000000002</v>
      </c>
      <c r="M63" s="72"/>
    </row>
    <row r="64" spans="1:13" ht="15" customHeight="1">
      <c r="A64" s="884"/>
      <c r="B64" s="867"/>
      <c r="C64" s="863"/>
      <c r="D64" s="858"/>
      <c r="E64" s="96" t="str">
        <f t="shared" si="17"/>
        <v>수질관리</v>
      </c>
      <c r="F64" s="108">
        <f t="shared" ref="F64:L64" si="19">F62*$D$4</f>
        <v>1.5</v>
      </c>
      <c r="G64" s="108">
        <f t="shared" si="19"/>
        <v>1.5</v>
      </c>
      <c r="H64" s="108">
        <f t="shared" si="19"/>
        <v>1.5</v>
      </c>
      <c r="I64" s="108">
        <f t="shared" si="19"/>
        <v>1.5</v>
      </c>
      <c r="J64" s="91">
        <f t="shared" si="19"/>
        <v>1.5</v>
      </c>
      <c r="K64" s="91">
        <f t="shared" si="19"/>
        <v>1.35</v>
      </c>
      <c r="L64" s="129">
        <f t="shared" si="19"/>
        <v>1.2000000000000002</v>
      </c>
      <c r="M64" s="72"/>
    </row>
    <row r="65" spans="1:13" ht="15" customHeight="1">
      <c r="A65" s="884"/>
      <c r="B65" s="867"/>
      <c r="C65" s="863"/>
      <c r="D65" s="858"/>
      <c r="E65" s="96" t="str">
        <f t="shared" si="17"/>
        <v>소음진동</v>
      </c>
      <c r="F65" s="108">
        <f t="shared" ref="F65:L65" si="20">F62*$D$5</f>
        <v>1.5</v>
      </c>
      <c r="G65" s="108">
        <f t="shared" si="20"/>
        <v>1.5</v>
      </c>
      <c r="H65" s="108">
        <f t="shared" si="20"/>
        <v>1.5</v>
      </c>
      <c r="I65" s="108">
        <f t="shared" si="20"/>
        <v>1.5</v>
      </c>
      <c r="J65" s="91">
        <f t="shared" si="20"/>
        <v>1.5</v>
      </c>
      <c r="K65" s="91">
        <f t="shared" si="20"/>
        <v>1.35</v>
      </c>
      <c r="L65" s="129">
        <f t="shared" si="20"/>
        <v>1.2000000000000002</v>
      </c>
      <c r="M65" s="72"/>
    </row>
    <row r="66" spans="1:13" ht="15" customHeight="1">
      <c r="A66" s="884"/>
      <c r="B66" s="867"/>
      <c r="C66" s="863"/>
      <c r="D66" s="858"/>
      <c r="E66" s="96" t="str">
        <f t="shared" si="17"/>
        <v>폐기물처리</v>
      </c>
      <c r="F66" s="108">
        <f t="shared" ref="F66:L66" si="21">F62*$D$6</f>
        <v>1.5</v>
      </c>
      <c r="G66" s="108">
        <f t="shared" si="21"/>
        <v>1.5</v>
      </c>
      <c r="H66" s="108">
        <f t="shared" si="21"/>
        <v>1.5</v>
      </c>
      <c r="I66" s="108">
        <f t="shared" si="21"/>
        <v>1.5</v>
      </c>
      <c r="J66" s="91">
        <f t="shared" si="21"/>
        <v>1.5</v>
      </c>
      <c r="K66" s="91">
        <f t="shared" si="21"/>
        <v>1.35</v>
      </c>
      <c r="L66" s="129">
        <f t="shared" si="21"/>
        <v>1.2000000000000002</v>
      </c>
      <c r="M66" s="72"/>
    </row>
    <row r="67" spans="1:13" ht="15" customHeight="1">
      <c r="A67" s="884"/>
      <c r="B67" s="867"/>
      <c r="C67" s="863"/>
      <c r="D67" s="858"/>
      <c r="E67" s="96">
        <f t="shared" si="17"/>
        <v>0</v>
      </c>
      <c r="F67" s="108">
        <f t="shared" ref="F67:L67" si="22">F62*$D$7</f>
        <v>0</v>
      </c>
      <c r="G67" s="108">
        <f t="shared" si="22"/>
        <v>0</v>
      </c>
      <c r="H67" s="108">
        <f t="shared" si="22"/>
        <v>0</v>
      </c>
      <c r="I67" s="108">
        <f t="shared" si="22"/>
        <v>0</v>
      </c>
      <c r="J67" s="91">
        <f t="shared" si="22"/>
        <v>0</v>
      </c>
      <c r="K67" s="91">
        <f t="shared" si="22"/>
        <v>0</v>
      </c>
      <c r="L67" s="129">
        <f t="shared" si="22"/>
        <v>0</v>
      </c>
      <c r="M67" s="72"/>
    </row>
    <row r="68" spans="1:13" ht="15" customHeight="1">
      <c r="A68" s="884"/>
      <c r="B68" s="867"/>
      <c r="C68" s="865"/>
      <c r="D68" s="853"/>
      <c r="E68" s="96">
        <f t="shared" si="17"/>
        <v>0</v>
      </c>
      <c r="F68" s="108">
        <f t="shared" ref="F68:L68" si="23">F62*$D$8</f>
        <v>0</v>
      </c>
      <c r="G68" s="108">
        <f t="shared" si="23"/>
        <v>0</v>
      </c>
      <c r="H68" s="108">
        <f t="shared" si="23"/>
        <v>0</v>
      </c>
      <c r="I68" s="108">
        <f t="shared" si="23"/>
        <v>0</v>
      </c>
      <c r="J68" s="91">
        <f t="shared" si="23"/>
        <v>0</v>
      </c>
      <c r="K68" s="91">
        <f t="shared" si="23"/>
        <v>0</v>
      </c>
      <c r="L68" s="129">
        <f t="shared" si="23"/>
        <v>0</v>
      </c>
      <c r="M68" s="72"/>
    </row>
    <row r="69" spans="1:13" ht="15" customHeight="1">
      <c r="A69" s="884"/>
      <c r="B69" s="867"/>
      <c r="C69" s="862" t="s">
        <v>282</v>
      </c>
      <c r="D69" s="857">
        <v>6</v>
      </c>
      <c r="E69" s="59" t="s">
        <v>283</v>
      </c>
      <c r="F69" s="67">
        <v>15</v>
      </c>
      <c r="G69" s="67">
        <v>13</v>
      </c>
      <c r="H69" s="67">
        <v>11</v>
      </c>
      <c r="I69" s="67">
        <v>9</v>
      </c>
      <c r="J69" s="68">
        <v>9</v>
      </c>
      <c r="K69" s="82"/>
      <c r="L69" s="122"/>
    </row>
    <row r="70" spans="1:13" ht="15" customHeight="1">
      <c r="A70" s="884"/>
      <c r="B70" s="867"/>
      <c r="C70" s="863"/>
      <c r="D70" s="858"/>
      <c r="E70" s="55" t="s">
        <v>277</v>
      </c>
      <c r="F70" s="56">
        <f>D69*N17</f>
        <v>6</v>
      </c>
      <c r="G70" s="56">
        <f>D69*N17</f>
        <v>6</v>
      </c>
      <c r="H70" s="56">
        <f>D69*N17</f>
        <v>6</v>
      </c>
      <c r="I70" s="56">
        <f>D69*N18</f>
        <v>6</v>
      </c>
      <c r="J70" s="56">
        <f>D69*N19</f>
        <v>5.4</v>
      </c>
      <c r="K70" s="83"/>
      <c r="L70" s="122"/>
    </row>
    <row r="71" spans="1:13" ht="15" customHeight="1">
      <c r="A71" s="884"/>
      <c r="B71" s="867"/>
      <c r="C71" s="863"/>
      <c r="D71" s="858"/>
      <c r="E71" s="96" t="str">
        <f t="shared" ref="E71:E76" si="24">E55</f>
        <v>대기관리</v>
      </c>
      <c r="F71" s="108">
        <f>F70*$D$3</f>
        <v>1.5</v>
      </c>
      <c r="G71" s="108">
        <f>G70*$D$3</f>
        <v>1.5</v>
      </c>
      <c r="H71" s="108">
        <f>H70*$D$3</f>
        <v>1.5</v>
      </c>
      <c r="I71" s="108">
        <f>I70*$D$3</f>
        <v>1.5</v>
      </c>
      <c r="J71" s="91">
        <f>J70*$D$3</f>
        <v>1.35</v>
      </c>
      <c r="K71" s="84"/>
      <c r="L71" s="122"/>
    </row>
    <row r="72" spans="1:13" ht="15" customHeight="1">
      <c r="A72" s="884"/>
      <c r="B72" s="867"/>
      <c r="C72" s="863"/>
      <c r="D72" s="858"/>
      <c r="E72" s="96" t="str">
        <f t="shared" si="24"/>
        <v>수질관리</v>
      </c>
      <c r="F72" s="108">
        <f>F70*$D$4</f>
        <v>1.5</v>
      </c>
      <c r="G72" s="108">
        <f>G70*$D$4</f>
        <v>1.5</v>
      </c>
      <c r="H72" s="108">
        <f>H70*$D$4</f>
        <v>1.5</v>
      </c>
      <c r="I72" s="108">
        <f>I70*$D$4</f>
        <v>1.5</v>
      </c>
      <c r="J72" s="91">
        <f>J70*$D$4</f>
        <v>1.35</v>
      </c>
      <c r="K72" s="84"/>
      <c r="L72" s="122"/>
    </row>
    <row r="73" spans="1:13" ht="15" customHeight="1">
      <c r="A73" s="884"/>
      <c r="B73" s="867"/>
      <c r="C73" s="863"/>
      <c r="D73" s="858"/>
      <c r="E73" s="96" t="str">
        <f t="shared" si="24"/>
        <v>소음진동</v>
      </c>
      <c r="F73" s="108">
        <f>F70*$D$5</f>
        <v>1.5</v>
      </c>
      <c r="G73" s="108">
        <f>G70*$D$5</f>
        <v>1.5</v>
      </c>
      <c r="H73" s="108">
        <f>H70*$D$5</f>
        <v>1.5</v>
      </c>
      <c r="I73" s="108">
        <f>I70*$D$5</f>
        <v>1.5</v>
      </c>
      <c r="J73" s="91">
        <f>J70*$D$5</f>
        <v>1.35</v>
      </c>
      <c r="K73" s="84"/>
      <c r="L73" s="122"/>
    </row>
    <row r="74" spans="1:13" ht="15" customHeight="1">
      <c r="A74" s="884"/>
      <c r="B74" s="867"/>
      <c r="C74" s="863"/>
      <c r="D74" s="858"/>
      <c r="E74" s="96" t="str">
        <f t="shared" si="24"/>
        <v>폐기물처리</v>
      </c>
      <c r="F74" s="108">
        <f>F70*$D$6</f>
        <v>1.5</v>
      </c>
      <c r="G74" s="108">
        <f>G70*$D$6</f>
        <v>1.5</v>
      </c>
      <c r="H74" s="108">
        <f>H70*$D$6</f>
        <v>1.5</v>
      </c>
      <c r="I74" s="108">
        <f>I70*$D$6</f>
        <v>1.5</v>
      </c>
      <c r="J74" s="91">
        <f>J70*$D$6</f>
        <v>1.35</v>
      </c>
      <c r="K74" s="84"/>
      <c r="L74" s="122"/>
    </row>
    <row r="75" spans="1:13" ht="15" customHeight="1">
      <c r="A75" s="884"/>
      <c r="B75" s="867"/>
      <c r="C75" s="863"/>
      <c r="D75" s="858"/>
      <c r="E75" s="96">
        <f t="shared" si="24"/>
        <v>0</v>
      </c>
      <c r="F75" s="108">
        <f>F70*$D$7</f>
        <v>0</v>
      </c>
      <c r="G75" s="108">
        <f>G70*$D$7</f>
        <v>0</v>
      </c>
      <c r="H75" s="108">
        <f>H70*$D$7</f>
        <v>0</v>
      </c>
      <c r="I75" s="108">
        <f>I70*$D$7</f>
        <v>0</v>
      </c>
      <c r="J75" s="91">
        <f>J70*$D$7</f>
        <v>0</v>
      </c>
      <c r="K75" s="84"/>
      <c r="L75" s="122"/>
    </row>
    <row r="76" spans="1:13" ht="15" customHeight="1">
      <c r="A76" s="884"/>
      <c r="B76" s="867"/>
      <c r="C76" s="865"/>
      <c r="D76" s="853"/>
      <c r="E76" s="96">
        <f t="shared" si="24"/>
        <v>0</v>
      </c>
      <c r="F76" s="108">
        <f>F70*$D$8</f>
        <v>0</v>
      </c>
      <c r="G76" s="108">
        <f>G70*$D$8</f>
        <v>0</v>
      </c>
      <c r="H76" s="108">
        <f>H70*$D$8</f>
        <v>0</v>
      </c>
      <c r="I76" s="108">
        <f>I70*$D$8</f>
        <v>0</v>
      </c>
      <c r="J76" s="91">
        <f>J70*$D$8</f>
        <v>0</v>
      </c>
      <c r="K76" s="84"/>
      <c r="L76" s="122"/>
    </row>
    <row r="77" spans="1:13" ht="15" customHeight="1">
      <c r="A77" s="884"/>
      <c r="B77" s="85"/>
      <c r="C77" s="862" t="s">
        <v>288</v>
      </c>
      <c r="D77" s="857">
        <v>6</v>
      </c>
      <c r="E77" s="59" t="s">
        <v>283</v>
      </c>
      <c r="F77" s="59" t="s">
        <v>359</v>
      </c>
      <c r="G77" s="59" t="s">
        <v>295</v>
      </c>
      <c r="H77" s="86"/>
      <c r="I77" s="87"/>
      <c r="J77" s="87"/>
      <c r="K77" s="72"/>
      <c r="L77" s="122"/>
    </row>
    <row r="78" spans="1:13" ht="15" customHeight="1">
      <c r="A78" s="884"/>
      <c r="B78" s="85"/>
      <c r="C78" s="863"/>
      <c r="D78" s="858"/>
      <c r="E78" s="55" t="s">
        <v>277</v>
      </c>
      <c r="F78" s="75">
        <f>D77</f>
        <v>6</v>
      </c>
      <c r="G78" s="75">
        <v>0</v>
      </c>
      <c r="H78" s="84"/>
      <c r="I78" s="72"/>
      <c r="J78" s="72"/>
      <c r="K78" s="72"/>
      <c r="L78" s="122"/>
    </row>
    <row r="79" spans="1:13" ht="15" customHeight="1">
      <c r="A79" s="884"/>
      <c r="B79" s="85"/>
      <c r="C79" s="863"/>
      <c r="D79" s="858"/>
      <c r="E79" s="96" t="str">
        <f t="shared" ref="E79:E84" si="25">E63</f>
        <v>대기관리</v>
      </c>
      <c r="F79" s="115">
        <f>F78*$D$3</f>
        <v>1.5</v>
      </c>
      <c r="G79" s="115">
        <f>G78*$D$3</f>
        <v>0</v>
      </c>
      <c r="H79" s="84"/>
      <c r="I79" s="72"/>
      <c r="J79" s="72"/>
      <c r="K79" s="72"/>
      <c r="L79" s="122"/>
    </row>
    <row r="80" spans="1:13" ht="15" customHeight="1">
      <c r="A80" s="884"/>
      <c r="B80" s="85"/>
      <c r="C80" s="863"/>
      <c r="D80" s="858"/>
      <c r="E80" s="96" t="str">
        <f t="shared" si="25"/>
        <v>수질관리</v>
      </c>
      <c r="F80" s="115">
        <f>F78*$D$4</f>
        <v>1.5</v>
      </c>
      <c r="G80" s="115">
        <f>G78*$D$4</f>
        <v>0</v>
      </c>
      <c r="H80" s="84"/>
      <c r="I80" s="72"/>
      <c r="J80" s="72"/>
      <c r="K80" s="72"/>
      <c r="L80" s="122"/>
    </row>
    <row r="81" spans="1:12" ht="15" customHeight="1">
      <c r="A81" s="884"/>
      <c r="B81" s="85"/>
      <c r="C81" s="863"/>
      <c r="D81" s="858"/>
      <c r="E81" s="96" t="str">
        <f t="shared" si="25"/>
        <v>소음진동</v>
      </c>
      <c r="F81" s="115">
        <f>F78*$D$5</f>
        <v>1.5</v>
      </c>
      <c r="G81" s="115">
        <f>G78*$D$5</f>
        <v>0</v>
      </c>
      <c r="H81" s="84"/>
      <c r="I81" s="72"/>
      <c r="J81" s="72"/>
      <c r="K81" s="72"/>
      <c r="L81" s="122"/>
    </row>
    <row r="82" spans="1:12" ht="15" customHeight="1">
      <c r="A82" s="884"/>
      <c r="B82" s="85"/>
      <c r="C82" s="863"/>
      <c r="D82" s="858"/>
      <c r="E82" s="96" t="str">
        <f t="shared" si="25"/>
        <v>폐기물처리</v>
      </c>
      <c r="F82" s="115">
        <f>F78*$D$6</f>
        <v>1.5</v>
      </c>
      <c r="G82" s="115">
        <f>G78*$D$6</f>
        <v>0</v>
      </c>
      <c r="H82" s="84"/>
      <c r="I82" s="72"/>
      <c r="J82" s="72"/>
      <c r="K82" s="72"/>
      <c r="L82" s="122"/>
    </row>
    <row r="83" spans="1:12" ht="15" customHeight="1">
      <c r="A83" s="884"/>
      <c r="B83" s="85"/>
      <c r="C83" s="863"/>
      <c r="D83" s="858"/>
      <c r="E83" s="96">
        <f t="shared" si="25"/>
        <v>0</v>
      </c>
      <c r="F83" s="115">
        <f>F78*$D$7</f>
        <v>0</v>
      </c>
      <c r="G83" s="115">
        <f>G78*$D$7</f>
        <v>0</v>
      </c>
      <c r="H83" s="84"/>
      <c r="I83" s="72"/>
      <c r="J83" s="72"/>
      <c r="K83" s="72"/>
      <c r="L83" s="122"/>
    </row>
    <row r="84" spans="1:12" ht="15" customHeight="1">
      <c r="A84" s="884"/>
      <c r="B84" s="88"/>
      <c r="C84" s="864"/>
      <c r="D84" s="859"/>
      <c r="E84" s="130">
        <f t="shared" si="25"/>
        <v>0</v>
      </c>
      <c r="F84" s="132">
        <f>F78*$D$8</f>
        <v>0</v>
      </c>
      <c r="G84" s="132">
        <f>G78*$D$8</f>
        <v>0</v>
      </c>
      <c r="H84" s="84"/>
      <c r="I84" s="72"/>
      <c r="J84" s="72"/>
      <c r="K84" s="72"/>
      <c r="L84" s="122"/>
    </row>
    <row r="85" spans="1:12" ht="15" customHeight="1">
      <c r="A85" s="884"/>
      <c r="B85" s="883" t="s">
        <v>298</v>
      </c>
      <c r="C85" s="903" t="s">
        <v>299</v>
      </c>
      <c r="D85" s="902">
        <v>1</v>
      </c>
      <c r="E85" s="51" t="s">
        <v>300</v>
      </c>
      <c r="F85" s="51" t="s">
        <v>301</v>
      </c>
      <c r="G85" s="51" t="s">
        <v>302</v>
      </c>
      <c r="H85" s="92"/>
      <c r="I85" s="47"/>
      <c r="J85" s="47"/>
      <c r="K85" s="47"/>
      <c r="L85" s="122"/>
    </row>
    <row r="86" spans="1:12" ht="15" customHeight="1">
      <c r="A86" s="884"/>
      <c r="B86" s="884"/>
      <c r="C86" s="870"/>
      <c r="D86" s="868"/>
      <c r="E86" s="133" t="s">
        <v>277</v>
      </c>
      <c r="F86" s="134">
        <v>1</v>
      </c>
      <c r="G86" s="134">
        <v>0.5</v>
      </c>
      <c r="H86" s="92"/>
      <c r="I86" s="47"/>
      <c r="J86" s="47"/>
      <c r="K86" s="47"/>
      <c r="L86" s="122"/>
    </row>
    <row r="87" spans="1:12" ht="15" customHeight="1">
      <c r="A87" s="884"/>
      <c r="B87" s="884"/>
      <c r="C87" s="870" t="s">
        <v>360</v>
      </c>
      <c r="D87" s="868">
        <v>1</v>
      </c>
      <c r="E87" s="51" t="s">
        <v>383</v>
      </c>
      <c r="F87" s="51" t="s">
        <v>357</v>
      </c>
      <c r="G87" s="52"/>
      <c r="H87" s="47"/>
      <c r="I87" s="47"/>
      <c r="J87" s="47"/>
      <c r="K87" s="47"/>
      <c r="L87" s="122"/>
    </row>
    <row r="88" spans="1:12" ht="15" customHeight="1">
      <c r="A88" s="884"/>
      <c r="B88" s="884"/>
      <c r="C88" s="870"/>
      <c r="D88" s="868"/>
      <c r="E88" s="133" t="s">
        <v>183</v>
      </c>
      <c r="F88" s="134">
        <v>1</v>
      </c>
      <c r="G88" s="136"/>
      <c r="H88" s="47"/>
      <c r="I88" s="47"/>
      <c r="J88" s="47"/>
      <c r="K88" s="47"/>
      <c r="L88" s="122"/>
    </row>
    <row r="89" spans="1:12" ht="15" customHeight="1">
      <c r="A89" s="884"/>
      <c r="B89" s="884"/>
      <c r="C89" s="870" t="s">
        <v>394</v>
      </c>
      <c r="D89" s="868">
        <v>1</v>
      </c>
      <c r="E89" s="51" t="s">
        <v>65</v>
      </c>
      <c r="F89" s="51" t="s">
        <v>357</v>
      </c>
      <c r="G89" s="78"/>
      <c r="H89" s="47"/>
      <c r="I89" s="47"/>
      <c r="J89" s="47"/>
      <c r="K89" s="47"/>
      <c r="L89" s="122"/>
    </row>
    <row r="90" spans="1:12" ht="15" customHeight="1">
      <c r="A90" s="885"/>
      <c r="B90" s="885"/>
      <c r="C90" s="871"/>
      <c r="D90" s="869"/>
      <c r="E90" s="133" t="s">
        <v>183</v>
      </c>
      <c r="F90" s="134">
        <v>1</v>
      </c>
      <c r="G90" s="135"/>
      <c r="H90" s="45"/>
      <c r="I90" s="45"/>
      <c r="J90" s="45"/>
      <c r="K90" s="45"/>
      <c r="L90" s="127"/>
    </row>
    <row r="91" spans="1:12" ht="15" customHeight="1">
      <c r="A91" s="886" t="s">
        <v>397</v>
      </c>
      <c r="B91" s="896" t="s">
        <v>395</v>
      </c>
      <c r="C91" s="900" t="s">
        <v>303</v>
      </c>
      <c r="D91" s="874">
        <v>7</v>
      </c>
      <c r="E91" s="51" t="s">
        <v>304</v>
      </c>
      <c r="F91" s="156">
        <f>IF($H$5="단순",10,15)</f>
        <v>10</v>
      </c>
      <c r="G91" s="156">
        <f>IF($H$5="단순",8,12)</f>
        <v>8</v>
      </c>
      <c r="H91" s="156">
        <f>IF($H$5="단순",6,9)</f>
        <v>6</v>
      </c>
      <c r="I91" s="156">
        <f>IF($H$5="단순",4,6)</f>
        <v>4</v>
      </c>
      <c r="J91" s="170">
        <f>IF($H$5="단순",4,6)</f>
        <v>4</v>
      </c>
      <c r="K91" s="142"/>
      <c r="L91" s="118"/>
    </row>
    <row r="92" spans="1:12" ht="15" customHeight="1">
      <c r="A92" s="867"/>
      <c r="B92" s="896"/>
      <c r="C92" s="901"/>
      <c r="D92" s="875"/>
      <c r="E92" s="55" t="s">
        <v>277</v>
      </c>
      <c r="F92" s="94">
        <f>$D$91*1</f>
        <v>7</v>
      </c>
      <c r="G92" s="94">
        <f>$D$91*0.9</f>
        <v>6.3</v>
      </c>
      <c r="H92" s="94">
        <f>$D$91*0.8</f>
        <v>5.6000000000000005</v>
      </c>
      <c r="I92" s="94">
        <f>$D$91*0.7</f>
        <v>4.8999999999999995</v>
      </c>
      <c r="J92" s="94">
        <f>$D$91*0.6</f>
        <v>4.2</v>
      </c>
      <c r="K92" s="54"/>
      <c r="L92" s="122"/>
    </row>
    <row r="93" spans="1:12" ht="15" customHeight="1">
      <c r="A93" s="867"/>
      <c r="B93" s="896"/>
      <c r="C93" s="894" t="s">
        <v>305</v>
      </c>
      <c r="D93" s="873">
        <v>7</v>
      </c>
      <c r="E93" s="59" t="s">
        <v>289</v>
      </c>
      <c r="F93" s="95">
        <f>IF($H$5="단순",3,6)</f>
        <v>3</v>
      </c>
      <c r="G93" s="95">
        <f>IF($H$5="단순",2,5)</f>
        <v>2</v>
      </c>
      <c r="H93" s="95">
        <f>IF($H$5="단순",1,4)</f>
        <v>1</v>
      </c>
      <c r="I93" s="95">
        <f>IF($H$5="단순",0.5,3)</f>
        <v>0.5</v>
      </c>
      <c r="J93" s="95">
        <f>IF($H$5="단순",0.5,3)</f>
        <v>0.5</v>
      </c>
      <c r="K93" s="168"/>
      <c r="L93" s="122"/>
    </row>
    <row r="94" spans="1:12" ht="15" customHeight="1">
      <c r="A94" s="867"/>
      <c r="B94" s="896"/>
      <c r="C94" s="895"/>
      <c r="D94" s="904"/>
      <c r="E94" s="123" t="s">
        <v>277</v>
      </c>
      <c r="F94" s="167">
        <f>$D$93*1</f>
        <v>7</v>
      </c>
      <c r="G94" s="167">
        <f>$D$93*0.9</f>
        <v>6.3</v>
      </c>
      <c r="H94" s="167">
        <f>$D$93*0.8</f>
        <v>5.6000000000000005</v>
      </c>
      <c r="I94" s="167">
        <f>$D$93*0.7</f>
        <v>4.8999999999999995</v>
      </c>
      <c r="J94" s="167">
        <f>$D$93*0.6</f>
        <v>4.2</v>
      </c>
      <c r="K94" s="169"/>
      <c r="L94" s="122"/>
    </row>
    <row r="95" spans="1:12" ht="15" customHeight="1">
      <c r="A95" s="867"/>
      <c r="B95" s="918" t="s">
        <v>306</v>
      </c>
      <c r="C95" s="892" t="s">
        <v>411</v>
      </c>
      <c r="D95" s="852">
        <v>5</v>
      </c>
      <c r="E95" s="51" t="s">
        <v>307</v>
      </c>
      <c r="F95" s="171">
        <v>1</v>
      </c>
      <c r="G95" s="172"/>
      <c r="H95" s="889"/>
      <c r="I95" s="142"/>
      <c r="J95" s="142"/>
      <c r="K95" s="54"/>
      <c r="L95" s="122"/>
    </row>
    <row r="96" spans="1:12" ht="19.5" customHeight="1">
      <c r="A96" s="867"/>
      <c r="B96" s="918"/>
      <c r="C96" s="893"/>
      <c r="D96" s="858"/>
      <c r="E96" s="138" t="s">
        <v>308</v>
      </c>
      <c r="F96" s="93">
        <v>-0.2</v>
      </c>
      <c r="G96" s="160"/>
      <c r="H96" s="890"/>
      <c r="I96" s="54"/>
      <c r="J96" s="54"/>
      <c r="K96" s="47"/>
      <c r="L96" s="122"/>
    </row>
    <row r="97" spans="1:12" ht="15" customHeight="1">
      <c r="A97" s="867"/>
      <c r="B97" s="918"/>
      <c r="C97" s="893" t="s">
        <v>412</v>
      </c>
      <c r="D97" s="858"/>
      <c r="E97" s="59" t="s">
        <v>65</v>
      </c>
      <c r="F97" s="97">
        <v>1</v>
      </c>
      <c r="G97" s="161"/>
      <c r="H97" s="890"/>
      <c r="I97" s="42"/>
      <c r="J97" s="42"/>
      <c r="K97" s="47"/>
      <c r="L97" s="122"/>
    </row>
    <row r="98" spans="1:12" ht="15" customHeight="1">
      <c r="A98" s="867"/>
      <c r="B98" s="918"/>
      <c r="C98" s="893"/>
      <c r="D98" s="858"/>
      <c r="E98" s="138" t="s">
        <v>308</v>
      </c>
      <c r="F98" s="94">
        <v>-3</v>
      </c>
      <c r="G98" s="160"/>
      <c r="H98" s="890"/>
      <c r="I98" s="54"/>
      <c r="J98" s="54"/>
      <c r="K98" s="47"/>
      <c r="L98" s="122"/>
    </row>
    <row r="99" spans="1:12" ht="15" customHeight="1">
      <c r="A99" s="867"/>
      <c r="B99" s="918"/>
      <c r="C99" s="893" t="s">
        <v>413</v>
      </c>
      <c r="D99" s="858"/>
      <c r="E99" s="59" t="s">
        <v>65</v>
      </c>
      <c r="F99" s="97">
        <v>1</v>
      </c>
      <c r="G99" s="161"/>
      <c r="H99" s="890"/>
      <c r="I99" s="42"/>
      <c r="J99" s="42"/>
      <c r="K99" s="47"/>
      <c r="L99" s="122"/>
    </row>
    <row r="100" spans="1:12" ht="15" customHeight="1">
      <c r="A100" s="867"/>
      <c r="B100" s="918"/>
      <c r="C100" s="893"/>
      <c r="D100" s="858"/>
      <c r="E100" s="138" t="s">
        <v>308</v>
      </c>
      <c r="F100" s="94">
        <v>-0.2</v>
      </c>
      <c r="G100" s="160"/>
      <c r="H100" s="890"/>
      <c r="I100" s="54"/>
      <c r="J100" s="54"/>
      <c r="K100" s="47"/>
      <c r="L100" s="122"/>
    </row>
    <row r="101" spans="1:12" ht="15" customHeight="1">
      <c r="A101" s="867"/>
      <c r="B101" s="918"/>
      <c r="C101" s="893" t="s">
        <v>425</v>
      </c>
      <c r="D101" s="858"/>
      <c r="E101" s="59" t="s">
        <v>307</v>
      </c>
      <c r="F101" s="97">
        <v>1</v>
      </c>
      <c r="G101" s="161"/>
      <c r="H101" s="890"/>
      <c r="I101" s="42"/>
      <c r="J101" s="42"/>
      <c r="K101" s="47"/>
      <c r="L101" s="122"/>
    </row>
    <row r="102" spans="1:12" ht="15" customHeight="1">
      <c r="A102" s="867"/>
      <c r="B102" s="918"/>
      <c r="C102" s="893"/>
      <c r="D102" s="858"/>
      <c r="E102" s="138" t="s">
        <v>308</v>
      </c>
      <c r="F102" s="93">
        <v>-0.2</v>
      </c>
      <c r="G102" s="162"/>
      <c r="H102" s="891"/>
      <c r="I102" s="58"/>
      <c r="J102" s="58"/>
      <c r="K102" s="47"/>
      <c r="L102" s="122"/>
    </row>
    <row r="103" spans="1:12" ht="15" customHeight="1">
      <c r="A103" s="867"/>
      <c r="B103" s="918"/>
      <c r="C103" s="897" t="s">
        <v>445</v>
      </c>
      <c r="D103" s="857">
        <v>3</v>
      </c>
      <c r="E103" s="59" t="s">
        <v>309</v>
      </c>
      <c r="F103" s="59" t="s">
        <v>310</v>
      </c>
      <c r="G103" s="59" t="s">
        <v>311</v>
      </c>
      <c r="H103" s="59" t="s">
        <v>312</v>
      </c>
      <c r="I103" s="59" t="s">
        <v>313</v>
      </c>
      <c r="J103" s="59" t="s">
        <v>314</v>
      </c>
      <c r="K103" s="47"/>
      <c r="L103" s="122"/>
    </row>
    <row r="104" spans="1:12" ht="15" customHeight="1">
      <c r="A104" s="867"/>
      <c r="B104" s="918"/>
      <c r="C104" s="901"/>
      <c r="D104" s="858"/>
      <c r="E104" s="59" t="s">
        <v>315</v>
      </c>
      <c r="F104" s="59" t="s">
        <v>316</v>
      </c>
      <c r="G104" s="59" t="s">
        <v>317</v>
      </c>
      <c r="H104" s="59" t="s">
        <v>318</v>
      </c>
      <c r="I104" s="59" t="s">
        <v>319</v>
      </c>
      <c r="J104" s="59" t="s">
        <v>314</v>
      </c>
      <c r="K104" s="47"/>
      <c r="L104" s="122"/>
    </row>
    <row r="105" spans="1:12" ht="15" customHeight="1">
      <c r="A105" s="867"/>
      <c r="B105" s="918"/>
      <c r="C105" s="901"/>
      <c r="D105" s="858"/>
      <c r="E105" s="59" t="s">
        <v>320</v>
      </c>
      <c r="F105" s="59" t="s">
        <v>310</v>
      </c>
      <c r="G105" s="59" t="s">
        <v>311</v>
      </c>
      <c r="H105" s="59" t="s">
        <v>312</v>
      </c>
      <c r="I105" s="59" t="s">
        <v>321</v>
      </c>
      <c r="J105" s="59" t="s">
        <v>314</v>
      </c>
      <c r="K105" s="47"/>
      <c r="L105" s="122"/>
    </row>
    <row r="106" spans="1:12" ht="15" customHeight="1">
      <c r="A106" s="867"/>
      <c r="B106" s="918"/>
      <c r="C106" s="901"/>
      <c r="D106" s="858"/>
      <c r="E106" s="138" t="s">
        <v>443</v>
      </c>
      <c r="F106" s="148">
        <v>3</v>
      </c>
      <c r="G106" s="148">
        <v>2.7</v>
      </c>
      <c r="H106" s="148">
        <v>2.4</v>
      </c>
      <c r="I106" s="148">
        <v>2.1</v>
      </c>
      <c r="J106" s="148">
        <v>0</v>
      </c>
      <c r="K106" s="47"/>
      <c r="L106" s="122"/>
    </row>
    <row r="107" spans="1:12" ht="15" customHeight="1">
      <c r="A107" s="867"/>
      <c r="B107" s="918"/>
      <c r="C107" s="898"/>
      <c r="D107" s="859"/>
      <c r="E107" s="130" t="s">
        <v>444</v>
      </c>
      <c r="F107" s="134">
        <v>3</v>
      </c>
      <c r="G107" s="134">
        <v>3</v>
      </c>
      <c r="H107" s="134">
        <v>2.7</v>
      </c>
      <c r="I107" s="134">
        <v>2.4</v>
      </c>
      <c r="J107" s="134">
        <v>0</v>
      </c>
      <c r="K107" s="47"/>
      <c r="L107" s="122"/>
    </row>
    <row r="108" spans="1:12" ht="15" customHeight="1">
      <c r="A108" s="867"/>
      <c r="B108" s="896" t="s">
        <v>322</v>
      </c>
      <c r="C108" s="900" t="s">
        <v>323</v>
      </c>
      <c r="D108" s="852">
        <v>2</v>
      </c>
      <c r="E108" s="51" t="s">
        <v>324</v>
      </c>
      <c r="F108" s="51" t="s">
        <v>325</v>
      </c>
      <c r="G108" s="51" t="s">
        <v>326</v>
      </c>
      <c r="H108" s="51" t="s">
        <v>327</v>
      </c>
      <c r="I108" s="51" t="s">
        <v>454</v>
      </c>
      <c r="J108" s="173"/>
      <c r="K108" s="47"/>
      <c r="L108" s="122"/>
    </row>
    <row r="109" spans="1:12" ht="15" customHeight="1">
      <c r="A109" s="867"/>
      <c r="B109" s="896"/>
      <c r="C109" s="901"/>
      <c r="D109" s="858"/>
      <c r="E109" s="138" t="s">
        <v>277</v>
      </c>
      <c r="F109" s="93">
        <v>1</v>
      </c>
      <c r="G109" s="93">
        <v>0.6</v>
      </c>
      <c r="H109" s="93">
        <v>0.3</v>
      </c>
      <c r="I109" s="93">
        <v>0.1</v>
      </c>
      <c r="J109" s="92"/>
      <c r="K109" s="47"/>
      <c r="L109" s="122"/>
    </row>
    <row r="110" spans="1:12" ht="15" customHeight="1">
      <c r="A110" s="867"/>
      <c r="B110" s="896"/>
      <c r="C110" s="901"/>
      <c r="D110" s="858"/>
      <c r="E110" s="59" t="s">
        <v>324</v>
      </c>
      <c r="F110" s="59" t="s">
        <v>328</v>
      </c>
      <c r="G110" s="59" t="s">
        <v>329</v>
      </c>
      <c r="H110" s="59" t="s">
        <v>330</v>
      </c>
      <c r="I110" s="163"/>
      <c r="J110" s="47"/>
      <c r="K110" s="47"/>
      <c r="L110" s="122"/>
    </row>
    <row r="111" spans="1:12" ht="15" customHeight="1">
      <c r="A111" s="867"/>
      <c r="B111" s="896"/>
      <c r="C111" s="901"/>
      <c r="D111" s="858"/>
      <c r="E111" s="55" t="s">
        <v>331</v>
      </c>
      <c r="F111" s="99">
        <v>1</v>
      </c>
      <c r="G111" s="99">
        <v>0.8</v>
      </c>
      <c r="H111" s="99">
        <v>0.6</v>
      </c>
      <c r="I111" s="92"/>
      <c r="J111" s="47"/>
      <c r="K111" s="47"/>
      <c r="L111" s="122"/>
    </row>
    <row r="112" spans="1:12" ht="15" customHeight="1">
      <c r="A112" s="867"/>
      <c r="B112" s="896"/>
      <c r="C112" s="920"/>
      <c r="D112" s="853"/>
      <c r="E112" s="55" t="s">
        <v>327</v>
      </c>
      <c r="F112" s="99">
        <v>1</v>
      </c>
      <c r="G112" s="99">
        <v>0.8</v>
      </c>
      <c r="H112" s="166"/>
      <c r="I112" s="165"/>
      <c r="J112" s="165"/>
      <c r="K112" s="47"/>
      <c r="L112" s="122"/>
    </row>
    <row r="113" spans="1:12" ht="15" customHeight="1">
      <c r="A113" s="867"/>
      <c r="B113" s="896"/>
      <c r="C113" s="893" t="s">
        <v>332</v>
      </c>
      <c r="D113" s="868">
        <v>2</v>
      </c>
      <c r="E113" s="59" t="s">
        <v>283</v>
      </c>
      <c r="F113" s="100">
        <v>0.03</v>
      </c>
      <c r="G113" s="100">
        <v>2.5000000000000001E-2</v>
      </c>
      <c r="H113" s="100">
        <v>0.02</v>
      </c>
      <c r="I113" s="100">
        <v>1.4999999999999999E-2</v>
      </c>
      <c r="J113" s="101">
        <v>1.4999999999999999E-2</v>
      </c>
      <c r="K113" s="47"/>
      <c r="L113" s="122"/>
    </row>
    <row r="114" spans="1:12" ht="15" customHeight="1">
      <c r="A114" s="867"/>
      <c r="B114" s="896"/>
      <c r="C114" s="893"/>
      <c r="D114" s="868"/>
      <c r="E114" s="138" t="s">
        <v>277</v>
      </c>
      <c r="F114" s="93">
        <f>D113</f>
        <v>2</v>
      </c>
      <c r="G114" s="93">
        <f>$D$113*0.9</f>
        <v>1.8</v>
      </c>
      <c r="H114" s="93">
        <f>$D$113*0.8</f>
        <v>1.6</v>
      </c>
      <c r="I114" s="93">
        <f>$D$113*0.7</f>
        <v>1.4</v>
      </c>
      <c r="J114" s="98">
        <f>$D$113*0.6</f>
        <v>1.2</v>
      </c>
      <c r="K114" s="47"/>
      <c r="L114" s="122"/>
    </row>
    <row r="115" spans="1:12" ht="15" customHeight="1">
      <c r="A115" s="867"/>
      <c r="B115" s="896"/>
      <c r="C115" s="897" t="s">
        <v>333</v>
      </c>
      <c r="D115" s="857">
        <v>2</v>
      </c>
      <c r="E115" s="59" t="s">
        <v>324</v>
      </c>
      <c r="F115" s="59" t="s">
        <v>325</v>
      </c>
      <c r="G115" s="59" t="s">
        <v>326</v>
      </c>
      <c r="H115" s="59" t="s">
        <v>327</v>
      </c>
      <c r="I115" s="163"/>
      <c r="J115" s="159"/>
      <c r="K115" s="47"/>
      <c r="L115" s="122"/>
    </row>
    <row r="116" spans="1:12" ht="15" customHeight="1">
      <c r="A116" s="867"/>
      <c r="B116" s="896"/>
      <c r="C116" s="901"/>
      <c r="D116" s="858"/>
      <c r="E116" s="138" t="s">
        <v>277</v>
      </c>
      <c r="F116" s="93">
        <v>1</v>
      </c>
      <c r="G116" s="93">
        <v>0.6</v>
      </c>
      <c r="H116" s="93">
        <v>0.3</v>
      </c>
      <c r="I116" s="92"/>
      <c r="J116" s="47"/>
      <c r="K116" s="47"/>
      <c r="L116" s="122"/>
    </row>
    <row r="117" spans="1:12" ht="15" customHeight="1">
      <c r="A117" s="867"/>
      <c r="B117" s="896"/>
      <c r="C117" s="901"/>
      <c r="D117" s="858"/>
      <c r="E117" s="59" t="s">
        <v>324</v>
      </c>
      <c r="F117" s="59" t="s">
        <v>328</v>
      </c>
      <c r="G117" s="59" t="s">
        <v>329</v>
      </c>
      <c r="H117" s="59" t="s">
        <v>330</v>
      </c>
      <c r="I117" s="92"/>
      <c r="J117" s="47"/>
      <c r="K117" s="47"/>
      <c r="L117" s="122"/>
    </row>
    <row r="118" spans="1:12" ht="15" customHeight="1">
      <c r="A118" s="867"/>
      <c r="B118" s="896"/>
      <c r="C118" s="901"/>
      <c r="D118" s="858"/>
      <c r="E118" s="55" t="s">
        <v>331</v>
      </c>
      <c r="F118" s="99">
        <v>1</v>
      </c>
      <c r="G118" s="99">
        <v>0.8</v>
      </c>
      <c r="H118" s="149">
        <v>0.6</v>
      </c>
      <c r="I118" s="92"/>
      <c r="J118" s="47"/>
      <c r="K118" s="47"/>
      <c r="L118" s="122"/>
    </row>
    <row r="119" spans="1:12" ht="15" customHeight="1">
      <c r="A119" s="867"/>
      <c r="B119" s="896"/>
      <c r="C119" s="901"/>
      <c r="D119" s="858"/>
      <c r="E119" s="55" t="s">
        <v>327</v>
      </c>
      <c r="F119" s="99">
        <v>1</v>
      </c>
      <c r="G119" s="99">
        <v>0.8</v>
      </c>
      <c r="H119" s="149">
        <v>0.6</v>
      </c>
      <c r="I119" s="92"/>
      <c r="J119" s="47"/>
      <c r="K119" s="47"/>
      <c r="L119" s="122"/>
    </row>
    <row r="120" spans="1:12" ht="15" customHeight="1">
      <c r="A120" s="867"/>
      <c r="B120" s="896"/>
      <c r="C120" s="901"/>
      <c r="D120" s="858"/>
      <c r="E120" s="55" t="s">
        <v>464</v>
      </c>
      <c r="F120" s="99">
        <v>1</v>
      </c>
      <c r="G120" s="99">
        <v>0.8</v>
      </c>
      <c r="H120" s="149">
        <v>0.6</v>
      </c>
      <c r="I120" s="164"/>
      <c r="J120" s="165"/>
      <c r="K120" s="47"/>
      <c r="L120" s="122"/>
    </row>
    <row r="121" spans="1:12" ht="15" customHeight="1">
      <c r="A121" s="867"/>
      <c r="B121" s="896"/>
      <c r="C121" s="901"/>
      <c r="D121" s="858"/>
      <c r="E121" s="59" t="s">
        <v>334</v>
      </c>
      <c r="F121" s="102">
        <v>1</v>
      </c>
      <c r="G121" s="102">
        <v>0.9</v>
      </c>
      <c r="H121" s="102">
        <v>0.8</v>
      </c>
      <c r="I121" s="102">
        <v>0.7</v>
      </c>
      <c r="J121" s="103">
        <v>0.6</v>
      </c>
      <c r="K121" s="47"/>
      <c r="L121" s="122"/>
    </row>
    <row r="122" spans="1:12" ht="15" customHeight="1">
      <c r="A122" s="867"/>
      <c r="B122" s="896"/>
      <c r="C122" s="901"/>
      <c r="D122" s="858"/>
      <c r="E122" s="55" t="s">
        <v>335</v>
      </c>
      <c r="F122" s="104">
        <v>5</v>
      </c>
      <c r="G122" s="104">
        <v>4</v>
      </c>
      <c r="H122" s="104">
        <v>3</v>
      </c>
      <c r="I122" s="104">
        <v>2</v>
      </c>
      <c r="J122" s="105">
        <v>1</v>
      </c>
      <c r="K122" s="47"/>
      <c r="L122" s="122"/>
    </row>
    <row r="123" spans="1:12" ht="15" customHeight="1">
      <c r="A123" s="867"/>
      <c r="B123" s="896"/>
      <c r="C123" s="901"/>
      <c r="D123" s="858"/>
      <c r="E123" s="55" t="s">
        <v>336</v>
      </c>
      <c r="F123" s="104">
        <v>20</v>
      </c>
      <c r="G123" s="104">
        <v>18</v>
      </c>
      <c r="H123" s="104">
        <v>16</v>
      </c>
      <c r="I123" s="106">
        <v>14</v>
      </c>
      <c r="J123" s="107">
        <v>12</v>
      </c>
      <c r="K123" s="157"/>
      <c r="L123" s="122"/>
    </row>
    <row r="124" spans="1:12" ht="15" customHeight="1">
      <c r="A124" s="867"/>
      <c r="B124" s="896"/>
      <c r="C124" s="898"/>
      <c r="D124" s="859"/>
      <c r="E124" s="887" t="s">
        <v>337</v>
      </c>
      <c r="F124" s="888"/>
      <c r="G124" s="888"/>
      <c r="H124" s="888"/>
      <c r="I124" s="888"/>
      <c r="J124" s="888"/>
      <c r="K124" s="47"/>
      <c r="L124" s="122"/>
    </row>
    <row r="125" spans="1:12" ht="15" customHeight="1">
      <c r="A125" s="867"/>
      <c r="B125" s="915" t="s">
        <v>473</v>
      </c>
      <c r="C125" s="850" t="s">
        <v>450</v>
      </c>
      <c r="D125" s="852">
        <v>1</v>
      </c>
      <c r="E125" s="51" t="s">
        <v>65</v>
      </c>
      <c r="F125" s="51" t="s">
        <v>123</v>
      </c>
      <c r="G125" s="174"/>
      <c r="H125" s="175"/>
      <c r="I125" s="175"/>
      <c r="J125" s="150"/>
      <c r="K125" s="47"/>
      <c r="L125" s="122"/>
    </row>
    <row r="126" spans="1:12" ht="15" customHeight="1">
      <c r="A126" s="867"/>
      <c r="B126" s="916"/>
      <c r="C126" s="851"/>
      <c r="D126" s="853"/>
      <c r="E126" s="154" t="s">
        <v>46</v>
      </c>
      <c r="F126" s="148">
        <v>1</v>
      </c>
      <c r="G126" s="151"/>
      <c r="H126" s="152"/>
      <c r="I126" s="152"/>
      <c r="J126" s="150"/>
      <c r="K126" s="47"/>
      <c r="L126" s="122"/>
    </row>
    <row r="127" spans="1:12" ht="15" customHeight="1">
      <c r="A127" s="867"/>
      <c r="B127" s="916"/>
      <c r="C127" s="909" t="s">
        <v>451</v>
      </c>
      <c r="D127" s="857">
        <v>1</v>
      </c>
      <c r="E127" s="153" t="s">
        <v>474</v>
      </c>
      <c r="F127" s="905" t="s">
        <v>475</v>
      </c>
      <c r="G127" s="906"/>
      <c r="H127" s="905" t="s">
        <v>476</v>
      </c>
      <c r="I127" s="906"/>
      <c r="J127" s="150"/>
      <c r="K127" s="47"/>
      <c r="L127" s="122"/>
    </row>
    <row r="128" spans="1:12" ht="15" customHeight="1">
      <c r="A128" s="867"/>
      <c r="B128" s="917"/>
      <c r="C128" s="910"/>
      <c r="D128" s="859"/>
      <c r="E128" s="133" t="s">
        <v>46</v>
      </c>
      <c r="F128" s="907" t="s">
        <v>477</v>
      </c>
      <c r="G128" s="908"/>
      <c r="H128" s="908" t="s">
        <v>477</v>
      </c>
      <c r="I128" s="908"/>
      <c r="J128" s="150"/>
      <c r="K128" s="47"/>
      <c r="L128" s="122"/>
    </row>
    <row r="129" spans="1:12" ht="15" customHeight="1">
      <c r="A129" s="867"/>
      <c r="B129" s="915" t="s">
        <v>470</v>
      </c>
      <c r="C129" s="850" t="s">
        <v>478</v>
      </c>
      <c r="D129" s="882">
        <f>IF($H$6="시행",1,0)</f>
        <v>0</v>
      </c>
      <c r="E129" s="823"/>
      <c r="F129" s="824"/>
      <c r="G129" s="824"/>
      <c r="H129" s="824"/>
      <c r="I129" s="824"/>
      <c r="J129" s="150"/>
      <c r="K129" s="47"/>
      <c r="L129" s="122"/>
    </row>
    <row r="130" spans="1:12" ht="15" customHeight="1">
      <c r="A130" s="867"/>
      <c r="B130" s="916"/>
      <c r="C130" s="919"/>
      <c r="D130" s="873"/>
      <c r="E130" s="825"/>
      <c r="F130" s="826"/>
      <c r="G130" s="826"/>
      <c r="H130" s="826"/>
      <c r="I130" s="826"/>
      <c r="J130" s="150"/>
      <c r="K130" s="47"/>
      <c r="L130" s="122"/>
    </row>
    <row r="131" spans="1:12" ht="15" customHeight="1">
      <c r="A131" s="867"/>
      <c r="B131" s="916"/>
      <c r="C131" s="909" t="s">
        <v>472</v>
      </c>
      <c r="D131" s="873">
        <f>IF($H$6="시행",1,0)</f>
        <v>0</v>
      </c>
      <c r="E131" s="825"/>
      <c r="F131" s="826"/>
      <c r="G131" s="826"/>
      <c r="H131" s="826"/>
      <c r="I131" s="826"/>
      <c r="J131" s="150"/>
      <c r="K131" s="47"/>
      <c r="L131" s="122"/>
    </row>
    <row r="132" spans="1:12" ht="15" customHeight="1">
      <c r="A132" s="867"/>
      <c r="B132" s="917"/>
      <c r="C132" s="910"/>
      <c r="D132" s="904"/>
      <c r="E132" s="827"/>
      <c r="F132" s="126"/>
      <c r="G132" s="826"/>
      <c r="H132" s="826"/>
      <c r="I132" s="826"/>
      <c r="J132" s="150"/>
      <c r="K132" s="47"/>
      <c r="L132" s="122"/>
    </row>
    <row r="133" spans="1:12" ht="15" customHeight="1">
      <c r="A133" s="867"/>
      <c r="B133" s="901" t="s">
        <v>338</v>
      </c>
      <c r="C133" s="919" t="s">
        <v>339</v>
      </c>
      <c r="D133" s="853">
        <v>0</v>
      </c>
      <c r="E133" s="153" t="s">
        <v>633</v>
      </c>
      <c r="F133" s="153" t="s">
        <v>634</v>
      </c>
      <c r="G133" s="78"/>
      <c r="H133" s="54"/>
      <c r="I133" s="54"/>
      <c r="J133" s="54"/>
      <c r="K133" s="47"/>
      <c r="L133" s="122"/>
    </row>
    <row r="134" spans="1:12" ht="15" customHeight="1">
      <c r="A134" s="911"/>
      <c r="B134" s="898"/>
      <c r="C134" s="910"/>
      <c r="D134" s="869"/>
      <c r="E134" s="158" t="s">
        <v>340</v>
      </c>
      <c r="F134" s="828" t="s">
        <v>341</v>
      </c>
      <c r="G134" s="829"/>
      <c r="H134" s="830"/>
      <c r="I134" s="830"/>
      <c r="J134" s="830"/>
      <c r="K134" s="45"/>
      <c r="L134" s="127"/>
    </row>
    <row r="135" spans="1:12" ht="33.75" customHeight="1">
      <c r="A135" s="912" t="s">
        <v>342</v>
      </c>
      <c r="B135" s="913"/>
      <c r="C135" s="914"/>
      <c r="D135" s="176">
        <f>SUM(D13:D134)</f>
        <v>100</v>
      </c>
      <c r="E135" s="50"/>
      <c r="F135" s="141"/>
      <c r="G135" s="141"/>
      <c r="H135" s="141"/>
      <c r="I135" s="141"/>
      <c r="J135" s="141"/>
      <c r="K135" s="155"/>
      <c r="L135" s="177"/>
    </row>
    <row r="136" spans="1:12" ht="24.95" customHeight="1">
      <c r="B136" s="109"/>
      <c r="C136" s="109"/>
      <c r="D136" s="110"/>
      <c r="E136" s="109"/>
      <c r="F136" s="109"/>
      <c r="G136" s="109"/>
      <c r="H136" s="109"/>
      <c r="I136" s="109"/>
      <c r="J136" s="109"/>
    </row>
    <row r="137" spans="1:12" s="109" customFormat="1" ht="19.5" customHeight="1">
      <c r="D137" s="110"/>
    </row>
    <row r="138" spans="1:12" s="109" customFormat="1">
      <c r="D138" s="110"/>
    </row>
    <row r="139" spans="1:12" s="109" customFormat="1">
      <c r="D139" s="110"/>
    </row>
    <row r="140" spans="1:12" s="109" customFormat="1">
      <c r="D140" s="110"/>
    </row>
    <row r="141" spans="1:12" s="109" customFormat="1">
      <c r="D141" s="110"/>
    </row>
    <row r="142" spans="1:12" s="109" customFormat="1">
      <c r="D142" s="110"/>
    </row>
    <row r="143" spans="1:12" s="109" customFormat="1">
      <c r="D143" s="110"/>
    </row>
    <row r="144" spans="1:12" s="109" customFormat="1">
      <c r="D144" s="110"/>
    </row>
    <row r="145" spans="2:10" s="109" customFormat="1">
      <c r="D145" s="110"/>
    </row>
    <row r="146" spans="2:10" s="109" customFormat="1">
      <c r="D146" s="110"/>
    </row>
    <row r="147" spans="2:10" s="109" customFormat="1">
      <c r="D147" s="110"/>
    </row>
    <row r="148" spans="2:10" s="109" customFormat="1">
      <c r="D148" s="110"/>
    </row>
    <row r="149" spans="2:10" s="109" customFormat="1">
      <c r="D149" s="110"/>
    </row>
    <row r="150" spans="2:10" s="109" customFormat="1">
      <c r="D150" s="110"/>
    </row>
    <row r="151" spans="2:10" s="109" customFormat="1">
      <c r="D151" s="110"/>
    </row>
    <row r="152" spans="2:10" s="109" customFormat="1">
      <c r="D152" s="110"/>
    </row>
    <row r="153" spans="2:10" s="109" customFormat="1">
      <c r="D153" s="110"/>
    </row>
    <row r="154" spans="2:10" s="109" customFormat="1">
      <c r="D154" s="110"/>
    </row>
    <row r="155" spans="2:10" s="109" customFormat="1">
      <c r="D155" s="110"/>
    </row>
    <row r="156" spans="2:10" s="109" customFormat="1">
      <c r="D156" s="110"/>
    </row>
    <row r="157" spans="2:10" s="109" customFormat="1">
      <c r="D157" s="110"/>
    </row>
    <row r="158" spans="2:10" s="109" customFormat="1">
      <c r="D158" s="110"/>
    </row>
    <row r="159" spans="2:10" s="109" customFormat="1">
      <c r="B159" s="24"/>
      <c r="C159" s="24"/>
      <c r="D159" s="111"/>
      <c r="E159" s="24"/>
      <c r="F159" s="24"/>
      <c r="G159" s="24"/>
      <c r="H159" s="24"/>
      <c r="I159" s="24"/>
      <c r="J159" s="24"/>
    </row>
  </sheetData>
  <sheetProtection selectLockedCells="1"/>
  <mergeCells count="81">
    <mergeCell ref="D129:D130"/>
    <mergeCell ref="D131:D132"/>
    <mergeCell ref="A91:A134"/>
    <mergeCell ref="A135:C135"/>
    <mergeCell ref="B125:B128"/>
    <mergeCell ref="B95:B107"/>
    <mergeCell ref="B129:B132"/>
    <mergeCell ref="C129:C130"/>
    <mergeCell ref="C131:C132"/>
    <mergeCell ref="C115:C124"/>
    <mergeCell ref="D115:D124"/>
    <mergeCell ref="D133:D134"/>
    <mergeCell ref="B133:B134"/>
    <mergeCell ref="C133:C134"/>
    <mergeCell ref="C113:C114"/>
    <mergeCell ref="C108:C112"/>
    <mergeCell ref="F127:G127"/>
    <mergeCell ref="H127:I127"/>
    <mergeCell ref="F128:G128"/>
    <mergeCell ref="H128:I128"/>
    <mergeCell ref="C127:C128"/>
    <mergeCell ref="D127:D128"/>
    <mergeCell ref="B85:B90"/>
    <mergeCell ref="C97:C98"/>
    <mergeCell ref="C99:C100"/>
    <mergeCell ref="C103:C107"/>
    <mergeCell ref="D103:D107"/>
    <mergeCell ref="C85:C86"/>
    <mergeCell ref="C101:C102"/>
    <mergeCell ref="D93:D94"/>
    <mergeCell ref="A13:A90"/>
    <mergeCell ref="B53:B76"/>
    <mergeCell ref="D69:D76"/>
    <mergeCell ref="E124:J124"/>
    <mergeCell ref="H95:H102"/>
    <mergeCell ref="C95:C96"/>
    <mergeCell ref="C69:C76"/>
    <mergeCell ref="C93:C94"/>
    <mergeCell ref="B91:B94"/>
    <mergeCell ref="B108:B124"/>
    <mergeCell ref="C87:C88"/>
    <mergeCell ref="D87:D88"/>
    <mergeCell ref="C19:C20"/>
    <mergeCell ref="C17:C18"/>
    <mergeCell ref="C91:C92"/>
    <mergeCell ref="D85:D86"/>
    <mergeCell ref="N4:O4"/>
    <mergeCell ref="C15:C16"/>
    <mergeCell ref="E3:E9"/>
    <mergeCell ref="C13:C14"/>
    <mergeCell ref="D13:D14"/>
    <mergeCell ref="G1:H1"/>
    <mergeCell ref="D17:D18"/>
    <mergeCell ref="D15:D16"/>
    <mergeCell ref="D91:D92"/>
    <mergeCell ref="D113:D114"/>
    <mergeCell ref="D108:D112"/>
    <mergeCell ref="D95:D102"/>
    <mergeCell ref="D21:D28"/>
    <mergeCell ref="C45:C52"/>
    <mergeCell ref="D89:D90"/>
    <mergeCell ref="C29:C36"/>
    <mergeCell ref="C21:C28"/>
    <mergeCell ref="C89:C90"/>
    <mergeCell ref="D29:D36"/>
    <mergeCell ref="B13:B20"/>
    <mergeCell ref="C125:C126"/>
    <mergeCell ref="D125:D126"/>
    <mergeCell ref="A3:A9"/>
    <mergeCell ref="D45:D52"/>
    <mergeCell ref="A12:B12"/>
    <mergeCell ref="C77:C84"/>
    <mergeCell ref="D77:D84"/>
    <mergeCell ref="D61:D68"/>
    <mergeCell ref="C61:C68"/>
    <mergeCell ref="D53:D60"/>
    <mergeCell ref="C53:C60"/>
    <mergeCell ref="B21:B44"/>
    <mergeCell ref="D19:D20"/>
    <mergeCell ref="D37:D44"/>
    <mergeCell ref="C37:C44"/>
  </mergeCells>
  <phoneticPr fontId="2" type="noConversion"/>
  <dataValidations disablePrompts="1" count="2">
    <dataValidation type="list" allowBlank="1" showInputMessage="1" showErrorMessage="1" sqref="H5">
      <formula1>$P$17:$P$18</formula1>
    </dataValidation>
    <dataValidation type="list" allowBlank="1" showInputMessage="1" showErrorMessage="1" sqref="H6:H7">
      <formula1>$Q$17:$Q$18</formula1>
    </dataValidation>
  </dataValidations>
  <printOptions horizontalCentered="1"/>
  <pageMargins left="0.74803149606299213" right="0.74803149606299213" top="0.6692913385826772" bottom="0.31496062992125984" header="0.51181102362204722" footer="0.51181102362204722"/>
  <pageSetup paperSize="9" scale="32" fitToHeight="2" orientation="landscape" horizontalDpi="300" verticalDpi="300" r:id="rId1"/>
  <headerFooter alignWithMargins="0"/>
  <rowBreaks count="1" manualBreakCount="1">
    <brk id="90" min="1" max="10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10"/>
  </sheetPr>
  <dimension ref="A1:I64"/>
  <sheetViews>
    <sheetView view="pageBreakPreview" zoomScale="85" zoomScaleNormal="85" zoomScaleSheetLayoutView="85" workbookViewId="0">
      <selection activeCell="L21" sqref="L21"/>
    </sheetView>
  </sheetViews>
  <sheetFormatPr defaultRowHeight="13.5"/>
  <cols>
    <col min="1" max="1" width="19" style="180" customWidth="1"/>
    <col min="2" max="2" width="11.5546875" style="180" customWidth="1"/>
    <col min="3" max="3" width="15.21875" style="180" customWidth="1"/>
    <col min="4" max="4" width="27.21875" style="180" customWidth="1"/>
    <col min="5" max="5" width="10.77734375" style="180" customWidth="1"/>
    <col min="6" max="6" width="11.77734375" style="213" customWidth="1"/>
    <col min="7" max="7" width="11.77734375" style="211" customWidth="1"/>
    <col min="8" max="16384" width="8.88671875" style="180"/>
  </cols>
  <sheetData>
    <row r="1" spans="1:9" s="182" customFormat="1" ht="25.5" customHeight="1">
      <c r="A1" s="921" t="s">
        <v>119</v>
      </c>
      <c r="B1" s="922"/>
      <c r="C1" s="922"/>
      <c r="D1" s="922"/>
      <c r="E1" s="922"/>
      <c r="F1" s="922"/>
      <c r="G1" s="922"/>
    </row>
    <row r="2" spans="1:9" s="182" customFormat="1" ht="14.25" customHeight="1">
      <c r="A2" s="183"/>
      <c r="B2" s="183"/>
      <c r="C2" s="183"/>
      <c r="D2" s="183"/>
      <c r="E2" s="183"/>
      <c r="F2" s="183"/>
      <c r="G2" s="183"/>
    </row>
    <row r="3" spans="1:9" s="182" customFormat="1" ht="22.5" customHeight="1">
      <c r="A3" s="925" t="str">
        <f>참여업체!B2</f>
        <v xml:space="preserve"> O O 지구   O O 영향평가 용역</v>
      </c>
      <c r="B3" s="925"/>
      <c r="C3" s="925"/>
      <c r="D3" s="925"/>
      <c r="E3" s="925"/>
      <c r="F3" s="925"/>
      <c r="G3" s="925"/>
    </row>
    <row r="4" spans="1:9" ht="30" customHeight="1">
      <c r="A4" s="935" t="s">
        <v>120</v>
      </c>
      <c r="B4" s="936"/>
      <c r="C4" s="939" t="s">
        <v>121</v>
      </c>
      <c r="D4" s="940"/>
      <c r="E4" s="941"/>
      <c r="F4" s="937" t="s">
        <v>45</v>
      </c>
      <c r="G4" s="923" t="s">
        <v>377</v>
      </c>
    </row>
    <row r="5" spans="1:9" ht="30" customHeight="1">
      <c r="A5" s="184" t="s">
        <v>122</v>
      </c>
      <c r="B5" s="185" t="s">
        <v>123</v>
      </c>
      <c r="C5" s="935" t="s">
        <v>124</v>
      </c>
      <c r="D5" s="942"/>
      <c r="E5" s="186" t="s">
        <v>125</v>
      </c>
      <c r="F5" s="938"/>
      <c r="G5" s="924"/>
    </row>
    <row r="6" spans="1:9" s="191" customFormat="1" ht="30" customHeight="1">
      <c r="A6" s="943" t="s">
        <v>376</v>
      </c>
      <c r="B6" s="926">
        <f>SUM(E6:E20)</f>
        <v>70</v>
      </c>
      <c r="C6" s="929" t="s">
        <v>210</v>
      </c>
      <c r="D6" s="187" t="s">
        <v>211</v>
      </c>
      <c r="E6" s="188">
        <f>배점기준!D13</f>
        <v>3</v>
      </c>
      <c r="F6" s="189">
        <f>평가자!$H$4</f>
        <v>2.85</v>
      </c>
      <c r="G6" s="190"/>
    </row>
    <row r="7" spans="1:9" s="191" customFormat="1" ht="30" customHeight="1">
      <c r="A7" s="944"/>
      <c r="B7" s="927"/>
      <c r="C7" s="930"/>
      <c r="D7" s="192" t="s">
        <v>291</v>
      </c>
      <c r="E7" s="193">
        <f>배점기준!D21</f>
        <v>6</v>
      </c>
      <c r="F7" s="194">
        <f>평가자!$L$13</f>
        <v>5.85</v>
      </c>
      <c r="G7" s="195"/>
    </row>
    <row r="8" spans="1:9" s="191" customFormat="1" ht="30" customHeight="1">
      <c r="A8" s="944"/>
      <c r="B8" s="927"/>
      <c r="C8" s="931"/>
      <c r="D8" s="192" t="s">
        <v>212</v>
      </c>
      <c r="E8" s="193">
        <f>배점기준!D53</f>
        <v>5</v>
      </c>
      <c r="F8" s="194">
        <f>평가자!$L$25</f>
        <v>5</v>
      </c>
      <c r="G8" s="195"/>
    </row>
    <row r="9" spans="1:9" s="191" customFormat="1" ht="30" customHeight="1">
      <c r="A9" s="944"/>
      <c r="B9" s="927"/>
      <c r="C9" s="932" t="s">
        <v>51</v>
      </c>
      <c r="D9" s="187" t="s">
        <v>211</v>
      </c>
      <c r="E9" s="193">
        <f>배점기준!D15</f>
        <v>5</v>
      </c>
      <c r="F9" s="194">
        <f>평가자!$H5</f>
        <v>2.5</v>
      </c>
      <c r="G9" s="195"/>
    </row>
    <row r="10" spans="1:9" s="191" customFormat="1" ht="30" customHeight="1">
      <c r="A10" s="944"/>
      <c r="B10" s="927"/>
      <c r="C10" s="930"/>
      <c r="D10" s="192" t="s">
        <v>291</v>
      </c>
      <c r="E10" s="193">
        <f>배점기준!D29</f>
        <v>7</v>
      </c>
      <c r="F10" s="194">
        <f>평가자!L15</f>
        <v>4.2</v>
      </c>
      <c r="G10" s="195"/>
    </row>
    <row r="11" spans="1:9" s="191" customFormat="1" ht="30" customHeight="1">
      <c r="A11" s="944"/>
      <c r="B11" s="927"/>
      <c r="C11" s="931"/>
      <c r="D11" s="192" t="s">
        <v>212</v>
      </c>
      <c r="E11" s="193">
        <f>배점기준!D61</f>
        <v>6</v>
      </c>
      <c r="F11" s="194">
        <f>평가자!L27</f>
        <v>6</v>
      </c>
      <c r="G11" s="195"/>
    </row>
    <row r="12" spans="1:9" s="191" customFormat="1" ht="30" customHeight="1">
      <c r="A12" s="944"/>
      <c r="B12" s="927"/>
      <c r="C12" s="932" t="s">
        <v>52</v>
      </c>
      <c r="D12" s="187" t="s">
        <v>211</v>
      </c>
      <c r="E12" s="193">
        <f>배점기준!D17</f>
        <v>5</v>
      </c>
      <c r="F12" s="194">
        <f>평가자!H6</f>
        <v>3.5</v>
      </c>
      <c r="G12" s="195"/>
    </row>
    <row r="13" spans="1:9" s="191" customFormat="1" ht="30" customHeight="1">
      <c r="A13" s="944"/>
      <c r="B13" s="927"/>
      <c r="C13" s="930"/>
      <c r="D13" s="192" t="s">
        <v>291</v>
      </c>
      <c r="E13" s="193">
        <f>배점기준!D37</f>
        <v>7</v>
      </c>
      <c r="F13" s="194">
        <f>평가자!L17</f>
        <v>5.08</v>
      </c>
      <c r="G13" s="195"/>
    </row>
    <row r="14" spans="1:9" s="191" customFormat="1" ht="30" customHeight="1">
      <c r="A14" s="944"/>
      <c r="B14" s="927"/>
      <c r="C14" s="931"/>
      <c r="D14" s="192" t="s">
        <v>212</v>
      </c>
      <c r="E14" s="193">
        <f>배점기준!D69</f>
        <v>6</v>
      </c>
      <c r="F14" s="194">
        <f>평가자!L29</f>
        <v>5.55</v>
      </c>
      <c r="G14" s="195"/>
      <c r="H14" s="180"/>
      <c r="I14" s="180"/>
    </row>
    <row r="15" spans="1:9" s="191" customFormat="1" ht="30" customHeight="1">
      <c r="A15" s="944"/>
      <c r="B15" s="927"/>
      <c r="C15" s="932" t="s">
        <v>213</v>
      </c>
      <c r="D15" s="187" t="s">
        <v>211</v>
      </c>
      <c r="E15" s="193">
        <f>배점기준!D19</f>
        <v>4</v>
      </c>
      <c r="F15" s="194">
        <f>평가자!H7</f>
        <v>4</v>
      </c>
      <c r="G15" s="195"/>
      <c r="H15" s="180"/>
      <c r="I15" s="180"/>
    </row>
    <row r="16" spans="1:9" s="191" customFormat="1" ht="30" customHeight="1">
      <c r="A16" s="944"/>
      <c r="B16" s="927"/>
      <c r="C16" s="930"/>
      <c r="D16" s="192" t="s">
        <v>291</v>
      </c>
      <c r="E16" s="193">
        <f>배점기준!D45</f>
        <v>7</v>
      </c>
      <c r="F16" s="194">
        <f>평가자!L19</f>
        <v>7</v>
      </c>
      <c r="G16" s="195"/>
      <c r="H16" s="180"/>
      <c r="I16" s="180"/>
    </row>
    <row r="17" spans="1:9" s="191" customFormat="1" ht="30" customHeight="1">
      <c r="A17" s="944"/>
      <c r="B17" s="927"/>
      <c r="C17" s="931"/>
      <c r="D17" s="192" t="s">
        <v>212</v>
      </c>
      <c r="E17" s="193">
        <f>배점기준!D77</f>
        <v>6</v>
      </c>
      <c r="F17" s="194">
        <f>평가자!L31</f>
        <v>6</v>
      </c>
      <c r="G17" s="195"/>
      <c r="H17" s="180"/>
      <c r="I17" s="180"/>
    </row>
    <row r="18" spans="1:9" s="191" customFormat="1" ht="30" customHeight="1">
      <c r="A18" s="944"/>
      <c r="B18" s="927"/>
      <c r="C18" s="933" t="s">
        <v>299</v>
      </c>
      <c r="D18" s="934"/>
      <c r="E18" s="193">
        <f>배점기준!D85</f>
        <v>1</v>
      </c>
      <c r="F18" s="194">
        <f>평가자!F35</f>
        <v>0.27777777777777779</v>
      </c>
      <c r="G18" s="195"/>
      <c r="H18" s="180"/>
      <c r="I18" s="180"/>
    </row>
    <row r="19" spans="1:9" s="191" customFormat="1" ht="30" customHeight="1">
      <c r="A19" s="944"/>
      <c r="B19" s="927"/>
      <c r="C19" s="933" t="s">
        <v>354</v>
      </c>
      <c r="D19" s="934"/>
      <c r="E19" s="193">
        <f>배점기준!D87</f>
        <v>1</v>
      </c>
      <c r="F19" s="194">
        <f>평가자!F39</f>
        <v>0.22</v>
      </c>
      <c r="G19" s="195"/>
      <c r="H19" s="180"/>
      <c r="I19" s="180"/>
    </row>
    <row r="20" spans="1:9" s="191" customFormat="1" ht="30" customHeight="1">
      <c r="A20" s="945"/>
      <c r="B20" s="928"/>
      <c r="C20" s="933" t="s">
        <v>355</v>
      </c>
      <c r="D20" s="934"/>
      <c r="E20" s="196">
        <v>1</v>
      </c>
      <c r="F20" s="197">
        <v>1</v>
      </c>
      <c r="G20" s="198"/>
      <c r="H20" s="180"/>
      <c r="I20" s="180"/>
    </row>
    <row r="21" spans="1:9" ht="30" customHeight="1">
      <c r="A21" s="955" t="s">
        <v>480</v>
      </c>
      <c r="B21" s="958">
        <f>SUM(E21:E31)</f>
        <v>30</v>
      </c>
      <c r="C21" s="949" t="s">
        <v>395</v>
      </c>
      <c r="D21" s="199" t="s">
        <v>65</v>
      </c>
      <c r="E21" s="193">
        <f>배점기준!D91</f>
        <v>7</v>
      </c>
      <c r="F21" s="194">
        <f>환경평가업체!H5</f>
        <v>5.6</v>
      </c>
      <c r="G21" s="195"/>
    </row>
    <row r="22" spans="1:9" ht="30" customHeight="1">
      <c r="A22" s="956"/>
      <c r="B22" s="927"/>
      <c r="C22" s="949"/>
      <c r="D22" s="199" t="s">
        <v>66</v>
      </c>
      <c r="E22" s="193">
        <f>배점기준!D93</f>
        <v>7</v>
      </c>
      <c r="F22" s="194">
        <f>환경평가업체!H8</f>
        <v>7</v>
      </c>
      <c r="G22" s="195"/>
    </row>
    <row r="23" spans="1:9" ht="30" customHeight="1">
      <c r="A23" s="956"/>
      <c r="B23" s="927"/>
      <c r="C23" s="946" t="s">
        <v>440</v>
      </c>
      <c r="D23" s="200" t="s">
        <v>441</v>
      </c>
      <c r="E23" s="193">
        <f>배점기준!D95</f>
        <v>5</v>
      </c>
      <c r="F23" s="194">
        <f>신용도!I5</f>
        <v>0.87999999999999989</v>
      </c>
      <c r="G23" s="195"/>
      <c r="H23" s="201"/>
    </row>
    <row r="24" spans="1:9" ht="30" customHeight="1">
      <c r="A24" s="956"/>
      <c r="B24" s="927"/>
      <c r="C24" s="947"/>
      <c r="D24" s="200" t="s">
        <v>442</v>
      </c>
      <c r="E24" s="193">
        <f>배점기준!D103</f>
        <v>3</v>
      </c>
      <c r="F24" s="194">
        <f>신용도!L14</f>
        <v>3</v>
      </c>
      <c r="G24" s="195"/>
      <c r="H24" s="202"/>
    </row>
    <row r="25" spans="1:9" ht="30" customHeight="1">
      <c r="A25" s="956"/>
      <c r="B25" s="927"/>
      <c r="C25" s="946" t="s">
        <v>102</v>
      </c>
      <c r="D25" s="203" t="s">
        <v>67</v>
      </c>
      <c r="E25" s="193">
        <v>2</v>
      </c>
      <c r="F25" s="194">
        <f>기술투자!Q6</f>
        <v>2</v>
      </c>
      <c r="G25" s="195"/>
    </row>
    <row r="26" spans="1:9" ht="30" customHeight="1">
      <c r="A26" s="956"/>
      <c r="B26" s="927"/>
      <c r="C26" s="952"/>
      <c r="D26" s="203" t="s">
        <v>48</v>
      </c>
      <c r="E26" s="193">
        <v>2</v>
      </c>
      <c r="F26" s="194">
        <f>기술투자!J13</f>
        <v>2</v>
      </c>
      <c r="G26" s="195"/>
    </row>
    <row r="27" spans="1:9" ht="30" customHeight="1">
      <c r="A27" s="956"/>
      <c r="B27" s="927"/>
      <c r="C27" s="947"/>
      <c r="D27" s="203" t="s">
        <v>101</v>
      </c>
      <c r="E27" s="193">
        <v>2</v>
      </c>
      <c r="F27" s="194">
        <f>기술투자!L26</f>
        <v>2</v>
      </c>
      <c r="G27" s="195"/>
    </row>
    <row r="28" spans="1:9" ht="30" customHeight="1">
      <c r="A28" s="956"/>
      <c r="B28" s="927"/>
      <c r="C28" s="953" t="s">
        <v>394</v>
      </c>
      <c r="D28" s="200" t="s">
        <v>450</v>
      </c>
      <c r="E28" s="196">
        <v>1</v>
      </c>
      <c r="F28" s="197">
        <v>1</v>
      </c>
      <c r="G28" s="198"/>
    </row>
    <row r="29" spans="1:9" ht="30" customHeight="1">
      <c r="A29" s="956"/>
      <c r="B29" s="927"/>
      <c r="C29" s="954"/>
      <c r="D29" s="204" t="s">
        <v>451</v>
      </c>
      <c r="E29" s="196">
        <v>1</v>
      </c>
      <c r="F29" s="197">
        <v>1</v>
      </c>
      <c r="G29" s="198"/>
    </row>
    <row r="30" spans="1:9" ht="30" customHeight="1">
      <c r="A30" s="956"/>
      <c r="B30" s="927"/>
      <c r="C30" s="953" t="s">
        <v>470</v>
      </c>
      <c r="D30" s="204" t="s">
        <v>471</v>
      </c>
      <c r="E30" s="196">
        <f>배점기준!D129</f>
        <v>0</v>
      </c>
      <c r="F30" s="197">
        <v>0</v>
      </c>
      <c r="G30" s="198"/>
    </row>
    <row r="31" spans="1:9" ht="30" customHeight="1">
      <c r="A31" s="956"/>
      <c r="B31" s="927"/>
      <c r="C31" s="954"/>
      <c r="D31" s="205" t="s">
        <v>472</v>
      </c>
      <c r="E31" s="196">
        <f>배점기준!D131</f>
        <v>0</v>
      </c>
      <c r="F31" s="197">
        <v>0</v>
      </c>
      <c r="G31" s="198"/>
    </row>
    <row r="32" spans="1:9" ht="30" customHeight="1">
      <c r="A32" s="957"/>
      <c r="B32" s="959"/>
      <c r="C32" s="206" t="s">
        <v>160</v>
      </c>
      <c r="D32" s="205" t="s">
        <v>479</v>
      </c>
      <c r="E32" s="196"/>
      <c r="F32" s="197">
        <f>가감점!F11</f>
        <v>0</v>
      </c>
      <c r="G32" s="198"/>
    </row>
    <row r="33" spans="1:7" s="210" customFormat="1" ht="30" customHeight="1">
      <c r="A33" s="950" t="s">
        <v>103</v>
      </c>
      <c r="B33" s="951"/>
      <c r="C33" s="951"/>
      <c r="D33" s="951"/>
      <c r="E33" s="208">
        <f>SUM(E6:E32)</f>
        <v>100</v>
      </c>
      <c r="F33" s="209">
        <f>SUM(F6:F32)</f>
        <v>83.507777777777761</v>
      </c>
      <c r="G33" s="207" t="str">
        <f>IF(F33&gt;=70,"선정","미선정")</f>
        <v>선정</v>
      </c>
    </row>
    <row r="34" spans="1:7" ht="26.25" customHeight="1">
      <c r="A34" s="948"/>
      <c r="B34" s="948"/>
      <c r="C34" s="948"/>
      <c r="D34" s="948"/>
      <c r="E34" s="948"/>
      <c r="F34" s="948"/>
    </row>
    <row r="35" spans="1:7" ht="13.5" customHeight="1">
      <c r="B35" s="212"/>
      <c r="E35" s="212"/>
    </row>
    <row r="36" spans="1:7" ht="13.5" customHeight="1">
      <c r="B36" s="212"/>
      <c r="E36" s="212"/>
    </row>
    <row r="37" spans="1:7" ht="13.5" customHeight="1">
      <c r="E37" s="212"/>
    </row>
    <row r="38" spans="1:7" ht="13.5" customHeight="1">
      <c r="B38" s="212"/>
      <c r="E38" s="212"/>
    </row>
    <row r="39" spans="1:7" ht="13.5" customHeight="1">
      <c r="B39" s="212"/>
      <c r="E39" s="212"/>
    </row>
    <row r="40" spans="1:7" ht="13.5" customHeight="1">
      <c r="B40" s="212"/>
      <c r="E40" s="212"/>
    </row>
    <row r="41" spans="1:7" ht="13.5" customHeight="1">
      <c r="B41" s="212"/>
      <c r="E41" s="212"/>
    </row>
    <row r="42" spans="1:7" ht="13.5" customHeight="1">
      <c r="B42" s="212"/>
      <c r="E42" s="212"/>
    </row>
    <row r="43" spans="1:7" ht="13.5" customHeight="1">
      <c r="B43" s="212"/>
      <c r="E43" s="212"/>
    </row>
    <row r="44" spans="1:7" ht="13.5" customHeight="1">
      <c r="B44" s="212"/>
      <c r="E44" s="212"/>
    </row>
    <row r="45" spans="1:7" ht="13.5" customHeight="1">
      <c r="B45" s="212"/>
      <c r="E45" s="212"/>
    </row>
    <row r="46" spans="1:7" ht="13.5" customHeight="1">
      <c r="B46" s="212"/>
      <c r="E46" s="212"/>
    </row>
    <row r="47" spans="1:7" ht="13.5" customHeight="1">
      <c r="B47" s="212"/>
      <c r="E47" s="212"/>
    </row>
    <row r="48" spans="1:7" ht="13.5" customHeight="1">
      <c r="B48" s="212"/>
      <c r="E48" s="212"/>
    </row>
    <row r="49" spans="2:5" ht="13.5" customHeight="1">
      <c r="B49" s="212"/>
      <c r="E49" s="212"/>
    </row>
    <row r="50" spans="2:5" ht="13.5" customHeight="1">
      <c r="B50" s="212"/>
      <c r="E50" s="212"/>
    </row>
    <row r="51" spans="2:5" ht="13.5" customHeight="1">
      <c r="B51" s="212"/>
      <c r="E51" s="212"/>
    </row>
    <row r="52" spans="2:5" ht="13.5" customHeight="1">
      <c r="B52" s="212"/>
      <c r="E52" s="212"/>
    </row>
    <row r="53" spans="2:5" ht="13.5" customHeight="1">
      <c r="B53" s="212"/>
      <c r="E53" s="212"/>
    </row>
    <row r="54" spans="2:5" ht="13.5" customHeight="1">
      <c r="B54" s="212"/>
      <c r="E54" s="212"/>
    </row>
    <row r="55" spans="2:5" ht="13.5" customHeight="1">
      <c r="B55" s="212"/>
      <c r="E55" s="212"/>
    </row>
    <row r="56" spans="2:5" ht="13.5" customHeight="1">
      <c r="B56" s="212"/>
      <c r="E56" s="212"/>
    </row>
    <row r="57" spans="2:5" ht="13.5" customHeight="1">
      <c r="B57" s="212"/>
      <c r="E57" s="212"/>
    </row>
    <row r="58" spans="2:5" ht="13.5" customHeight="1">
      <c r="B58" s="212"/>
      <c r="E58" s="212"/>
    </row>
    <row r="59" spans="2:5">
      <c r="B59" s="212"/>
      <c r="E59" s="212"/>
    </row>
    <row r="60" spans="2:5">
      <c r="B60" s="212"/>
      <c r="E60" s="212"/>
    </row>
    <row r="61" spans="2:5">
      <c r="B61" s="212"/>
      <c r="E61" s="212"/>
    </row>
    <row r="62" spans="2:5">
      <c r="B62" s="212"/>
      <c r="E62" s="212"/>
    </row>
    <row r="63" spans="2:5">
      <c r="B63" s="212"/>
    </row>
    <row r="64" spans="2:5">
      <c r="B64" s="212"/>
    </row>
  </sheetData>
  <mergeCells count="25">
    <mergeCell ref="C23:C24"/>
    <mergeCell ref="A34:F34"/>
    <mergeCell ref="C21:C22"/>
    <mergeCell ref="A33:D33"/>
    <mergeCell ref="C25:C27"/>
    <mergeCell ref="C28:C29"/>
    <mergeCell ref="C30:C31"/>
    <mergeCell ref="A21:A32"/>
    <mergeCell ref="B21:B32"/>
    <mergeCell ref="A1:G1"/>
    <mergeCell ref="G4:G5"/>
    <mergeCell ref="A3:G3"/>
    <mergeCell ref="B6:B20"/>
    <mergeCell ref="C6:C8"/>
    <mergeCell ref="C12:C14"/>
    <mergeCell ref="C9:C11"/>
    <mergeCell ref="C20:D20"/>
    <mergeCell ref="A4:B4"/>
    <mergeCell ref="C18:D18"/>
    <mergeCell ref="C19:D19"/>
    <mergeCell ref="F4:F5"/>
    <mergeCell ref="C4:E4"/>
    <mergeCell ref="C5:D5"/>
    <mergeCell ref="C15:C17"/>
    <mergeCell ref="A6:A20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9" orientation="portrait" horizontalDpi="4294967294" r:id="rId1"/>
  <headerFooter alignWithMargins="0"/>
  <ignoredErrors>
    <ignoredError sqref="E23 E25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0"/>
    <pageSetUpPr fitToPage="1"/>
  </sheetPr>
  <dimension ref="A1:S41"/>
  <sheetViews>
    <sheetView view="pageBreakPreview" zoomScaleNormal="100" zoomScaleSheetLayoutView="100" workbookViewId="0">
      <selection activeCell="F35" sqref="F35"/>
    </sheetView>
  </sheetViews>
  <sheetFormatPr defaultRowHeight="17.100000000000001" customHeight="1"/>
  <cols>
    <col min="1" max="1" width="1.6640625" style="217" customWidth="1"/>
    <col min="2" max="2" width="2.21875" style="217" customWidth="1"/>
    <col min="3" max="3" width="19.77734375" style="217" customWidth="1"/>
    <col min="4" max="4" width="14.109375" style="217" bestFit="1" customWidth="1"/>
    <col min="5" max="5" width="7.88671875" style="217" customWidth="1"/>
    <col min="6" max="12" width="12.77734375" style="217" customWidth="1"/>
    <col min="13" max="13" width="1.44140625" style="217" customWidth="1"/>
    <col min="14" max="14" width="7.77734375" style="217" customWidth="1"/>
    <col min="15" max="15" width="14.21875" style="217" customWidth="1"/>
    <col min="16" max="16" width="4.44140625" style="217" customWidth="1"/>
    <col min="17" max="17" width="15.88671875" style="217" customWidth="1"/>
    <col min="18" max="18" width="10.77734375" style="217" customWidth="1"/>
    <col min="19" max="19" width="9.6640625" style="217" customWidth="1"/>
    <col min="20" max="20" width="9.77734375" style="217" customWidth="1"/>
    <col min="21" max="21" width="3.6640625" style="217" bestFit="1" customWidth="1"/>
    <col min="22" max="26" width="3.21875" style="217" bestFit="1" customWidth="1"/>
    <col min="27" max="30" width="3.33203125" style="217" bestFit="1" customWidth="1"/>
    <col min="31" max="50" width="4.44140625" style="217" bestFit="1" customWidth="1"/>
    <col min="51" max="51" width="4.33203125" style="217" bestFit="1" customWidth="1"/>
    <col min="52" max="16384" width="8.88671875" style="217"/>
  </cols>
  <sheetData>
    <row r="1" spans="1:19" s="215" customFormat="1" ht="24" customHeight="1">
      <c r="A1" s="214" t="s">
        <v>406</v>
      </c>
      <c r="B1" s="214"/>
    </row>
    <row r="2" spans="1:19" s="180" customFormat="1" ht="24" customHeight="1">
      <c r="B2" s="216" t="s">
        <v>351</v>
      </c>
    </row>
    <row r="3" spans="1:19" ht="20.100000000000001" customHeight="1">
      <c r="C3" s="218" t="s">
        <v>44</v>
      </c>
      <c r="D3" s="219" t="s">
        <v>97</v>
      </c>
      <c r="E3" s="219" t="s">
        <v>123</v>
      </c>
      <c r="F3" s="219" t="s">
        <v>50</v>
      </c>
      <c r="G3" s="220" t="s">
        <v>98</v>
      </c>
      <c r="H3" s="221" t="s">
        <v>45</v>
      </c>
      <c r="N3" s="222"/>
    </row>
    <row r="4" spans="1:19" ht="20.100000000000001" customHeight="1">
      <c r="C4" s="963" t="str">
        <f>참여업체!C6&amp;"+"&amp;참여업체!D6&amp;"+"&amp;참여업체!E6</f>
        <v>㈜ㅁㅁ엔지니어링+ㅇㅇ엔지니어링㈜+◇◇기술공사㈜</v>
      </c>
      <c r="D4" s="223" t="s">
        <v>50</v>
      </c>
      <c r="E4" s="223">
        <f>배점기준!D13</f>
        <v>3</v>
      </c>
      <c r="F4" s="224" t="s">
        <v>240</v>
      </c>
      <c r="G4" s="970">
        <v>1</v>
      </c>
      <c r="H4" s="225">
        <f>IF(F4=배점기준!F13,배점기준!$F$14,IF(F4=배점기준!G13,배점기준!$G$14,IF(F4=배점기준!H13,배점기준!$H$14,0)))*G4</f>
        <v>2.85</v>
      </c>
      <c r="O4" s="226" t="s">
        <v>238</v>
      </c>
    </row>
    <row r="5" spans="1:19" ht="20.100000000000001" customHeight="1">
      <c r="C5" s="964"/>
      <c r="D5" s="227" t="s">
        <v>248</v>
      </c>
      <c r="E5" s="227">
        <f>배점기준!D15</f>
        <v>5</v>
      </c>
      <c r="F5" s="228">
        <f>총괄경력!K19</f>
        <v>0</v>
      </c>
      <c r="G5" s="971"/>
      <c r="H5" s="229">
        <f>IF(F5&gt;=배점기준!$F$15,배점기준!$F$16,IF(F5&gt;=배점기준!$G$15,배점기준!$G$16,IF(F5&gt;=배점기준!$H$15,배점기준!$H$16,IF(F5&gt;=배점기준!$I$15,배점기준!$I$16,IF(F5&gt;=배점기준!$J$15,배점기준!$J$16,IF(F5&gt;=배점기준!$K$15,배점기준!$K$16,IF(F5&lt;배점기준!$L$15,배점기준!$L$16))))))*G4)</f>
        <v>2.5</v>
      </c>
      <c r="O5" s="226" t="s">
        <v>239</v>
      </c>
    </row>
    <row r="6" spans="1:19" ht="20.100000000000001" customHeight="1">
      <c r="C6" s="964"/>
      <c r="D6" s="227" t="s">
        <v>249</v>
      </c>
      <c r="E6" s="227">
        <f>배점기준!D17</f>
        <v>5</v>
      </c>
      <c r="F6" s="228">
        <f>총괄실적!N19</f>
        <v>8.75</v>
      </c>
      <c r="G6" s="971"/>
      <c r="H6" s="229">
        <f>IF(F6&gt;=배점기준!$F$17,배점기준!$F$18,IF(F6&gt;=배점기준!$G$17,배점기준!$G$18,IF(F6&gt;=배점기준!$H$17,배점기준!$H$18,IF(F6&gt;=배점기준!$I$17,배점기준!$I$18,IF(F6&lt;배점기준!$J$17,배점기준!$J$18))))*G4)</f>
        <v>3.5</v>
      </c>
      <c r="O6" s="226" t="s">
        <v>241</v>
      </c>
    </row>
    <row r="7" spans="1:19" ht="20.100000000000001" customHeight="1">
      <c r="C7" s="965"/>
      <c r="D7" s="230" t="s">
        <v>250</v>
      </c>
      <c r="E7" s="230">
        <f>배점기준!D19</f>
        <v>4</v>
      </c>
      <c r="F7" s="231">
        <f>업무여유도!K9</f>
        <v>0</v>
      </c>
      <c r="G7" s="232"/>
      <c r="H7" s="233">
        <f>IF((배점기준!F20-(배점기준!F20*F7/2.5))&lt;0,0,(배점기준!F20-(배점기준!F20*F7/2.5)))</f>
        <v>4</v>
      </c>
      <c r="O7" s="226" t="s">
        <v>243</v>
      </c>
      <c r="S7" s="234"/>
    </row>
    <row r="8" spans="1:19" ht="20.100000000000001" customHeight="1">
      <c r="D8" s="235"/>
      <c r="E8" s="235"/>
      <c r="O8" s="226" t="s">
        <v>244</v>
      </c>
    </row>
    <row r="9" spans="1:19" s="180" customFormat="1" ht="20.100000000000001" customHeight="1">
      <c r="B9" s="211" t="s">
        <v>352</v>
      </c>
      <c r="O9" s="226" t="s">
        <v>242</v>
      </c>
    </row>
    <row r="10" spans="1:19" ht="20.100000000000001" customHeight="1">
      <c r="B10" s="226"/>
      <c r="C10" s="236" t="s">
        <v>44</v>
      </c>
      <c r="D10" s="218" t="s">
        <v>97</v>
      </c>
      <c r="E10" s="219" t="s">
        <v>123</v>
      </c>
      <c r="F10" s="237" t="str">
        <f>배점기준!$E$23</f>
        <v>대기관리</v>
      </c>
      <c r="G10" s="238" t="str">
        <f>배점기준!$E$24</f>
        <v>수질관리</v>
      </c>
      <c r="H10" s="238" t="str">
        <f>배점기준!$E$25</f>
        <v>소음진동</v>
      </c>
      <c r="I10" s="238" t="str">
        <f>배점기준!$E$26</f>
        <v>폐기물처리</v>
      </c>
      <c r="J10" s="239">
        <f>배점기준!$C$7</f>
        <v>0</v>
      </c>
      <c r="K10" s="239">
        <f>배점기준!$C$8</f>
        <v>0</v>
      </c>
      <c r="L10" s="968" t="s">
        <v>45</v>
      </c>
      <c r="M10" s="226"/>
      <c r="O10" s="226" t="s">
        <v>245</v>
      </c>
    </row>
    <row r="11" spans="1:19" ht="20.100000000000001" customHeight="1">
      <c r="C11" s="963" t="str">
        <f>C4</f>
        <v>㈜ㅁㅁ엔지니어링+ㅇㅇ엔지니어링㈜+◇◇기술공사㈜</v>
      </c>
      <c r="D11" s="240" t="s">
        <v>98</v>
      </c>
      <c r="E11" s="240" t="s">
        <v>358</v>
      </c>
      <c r="F11" s="241">
        <v>1</v>
      </c>
      <c r="G11" s="242">
        <v>1</v>
      </c>
      <c r="H11" s="242">
        <v>1</v>
      </c>
      <c r="I11" s="242">
        <v>1</v>
      </c>
      <c r="J11" s="242">
        <v>1</v>
      </c>
      <c r="K11" s="242">
        <v>1</v>
      </c>
      <c r="L11" s="969"/>
    </row>
    <row r="12" spans="1:19" ht="20.100000000000001" customHeight="1">
      <c r="C12" s="964"/>
      <c r="D12" s="243" t="s">
        <v>50</v>
      </c>
      <c r="E12" s="972">
        <f>배점기준!D21</f>
        <v>6</v>
      </c>
      <c r="F12" s="244" t="s">
        <v>237</v>
      </c>
      <c r="G12" s="245" t="s">
        <v>240</v>
      </c>
      <c r="H12" s="245" t="s">
        <v>234</v>
      </c>
      <c r="I12" s="245" t="s">
        <v>236</v>
      </c>
      <c r="J12" s="245" t="s">
        <v>236</v>
      </c>
      <c r="K12" s="245" t="s">
        <v>235</v>
      </c>
      <c r="L12" s="246"/>
    </row>
    <row r="13" spans="1:19" ht="20.100000000000001" customHeight="1">
      <c r="C13" s="964"/>
      <c r="D13" s="230" t="s">
        <v>46</v>
      </c>
      <c r="E13" s="973"/>
      <c r="F13" s="247">
        <f>IF(F12=배점기준!$F$21,배점기준!$F$23,IF(F12=배점기준!$G$21,배점기준!$G$23,IF(F12=배점기준!$H$21,배점기준!$H$23,IF(F12=배점기준!$I$21,배점기준!$I$23,0))))*F11</f>
        <v>1.5</v>
      </c>
      <c r="G13" s="248">
        <f>IF(G12=배점기준!$F$21,배점기준!$F$24,IF(G12=배점기준!$G$21,배점기준!$G$24,IF(G12=배점기준!$H$21,배점기준!$H$24,IF(G12=배점기준!$I$21,배점기준!$I$24,0))))*G11</f>
        <v>1.5</v>
      </c>
      <c r="H13" s="248">
        <f>IF(H12=배점기준!$F$21,배점기준!$F$25,IF(H12=배점기준!$G$21,배점기준!$G$25,IF(H12=배점기준!$H$21,배점기준!$H$25,IF(H13=배점기준!$I$21,배점기준!$I$25,0))))*H11</f>
        <v>1.5</v>
      </c>
      <c r="I13" s="248">
        <f>IF(I12=배점기준!$F$21,배점기준!$F$26,IF(I12=배점기준!$G$21,배점기준!$G$26,IF(I12=배점기준!$H$21,배점기준!$H$26,IF(I12=배점기준!$I$21,배점기준!$I$26,0))))*I11</f>
        <v>1.35</v>
      </c>
      <c r="J13" s="248">
        <f>IF(J12=배점기준!$F$21,배점기준!$F$23,IF(J12=배점기준!$G$21,배점기준!$G$23,IF(J12=배점기준!$H$21,배점기준!$H$23,IF(J22=배점기준!$I$21,배점기준!$I$23,0))))*J11</f>
        <v>0</v>
      </c>
      <c r="K13" s="248">
        <f>IF(K12=배점기준!$F$21,배점기준!$F$23,IF(K12=배점기준!$G$21,배점기준!$G$23,IF(K12=배점기준!$H$21,배점기준!$H$23,IF(K22=배점기준!$I$21,배점기준!$I$23,0))))*K11</f>
        <v>0</v>
      </c>
      <c r="L13" s="249">
        <f>ROUND(SUM(F13:K13),2)</f>
        <v>5.85</v>
      </c>
    </row>
    <row r="14" spans="1:19" ht="20.100000000000001" customHeight="1">
      <c r="C14" s="964"/>
      <c r="D14" s="243" t="s">
        <v>51</v>
      </c>
      <c r="E14" s="972">
        <f>배점기준!D29</f>
        <v>7</v>
      </c>
      <c r="F14" s="250">
        <f>분야별책임경력!J21</f>
        <v>0</v>
      </c>
      <c r="G14" s="250">
        <f>분야별책임경력!J41</f>
        <v>0</v>
      </c>
      <c r="H14" s="250">
        <f>분야별책임경력!J61</f>
        <v>0</v>
      </c>
      <c r="I14" s="250">
        <f>분야별책임경력!J81</f>
        <v>0</v>
      </c>
      <c r="J14" s="250">
        <f>분야별책임경력!J101</f>
        <v>0</v>
      </c>
      <c r="K14" s="250">
        <f>분야별책임경력!J121</f>
        <v>0</v>
      </c>
      <c r="L14" s="251"/>
    </row>
    <row r="15" spans="1:19" ht="20.100000000000001" customHeight="1">
      <c r="C15" s="964"/>
      <c r="D15" s="230" t="s">
        <v>46</v>
      </c>
      <c r="E15" s="973"/>
      <c r="F15" s="252">
        <f>IF(F14&gt;=배점기준!$F$29,배점기준!$F$31,IF(F14&gt;=배점기준!$G$29,배점기준!$G$31,IF(F14&gt;=배점기준!$H$29,배점기준!$H$31,IF(F14&gt;=배점기준!$I$29,배점기준!$I$31,IF(F14&gt;=배점기준!$J$29,배점기준!$J$31,IF(F14&gt;=배점기준!$K$29,배점기준!$K$31,IF(F14&lt;배점기준!$L$29,배점기준!$L$31)))))))*F11</f>
        <v>1.05</v>
      </c>
      <c r="G15" s="253">
        <f>IF(G14&gt;=배점기준!$F$29,배점기준!$F$32,IF(G14&gt;=배점기준!$G$29,배점기준!$G$32,IF(G14&gt;=배점기준!$H$29,배점기준!$H$32,IF(G14&gt;=배점기준!$I$29,배점기준!$I$32,IF(G14&gt;=배점기준!$J$29,배점기준!$J$32,IF(G14&gt;=배점기준!$K$29,배점기준!$K$32,IF(G14&lt;배점기준!$L$29,배점기준!$L$32)))))))*G11</f>
        <v>1.05</v>
      </c>
      <c r="H15" s="253">
        <f>IF(H14&gt;=배점기준!$F$29,배점기준!$F$33,IF(H14&gt;=배점기준!$G$29,배점기준!$G$33,IF(H14&gt;=배점기준!$H$29,배점기준!$H$33,IF(H14&gt;=배점기준!$I$29,배점기준!$I$33,IF(H14&gt;=배점기준!$J$29,배점기준!$J$33,IF(H14&gt;=배점기준!$K$29,배점기준!$K$33,IF(H14&lt;배점기준!$L$29,배점기준!$L$33)))))))*H11</f>
        <v>1.05</v>
      </c>
      <c r="I15" s="253">
        <f>IF(I14&gt;=배점기준!$F$29,배점기준!$F$34,IF(I14&gt;=배점기준!$G$29,배점기준!$G$34,IF(I14&gt;=배점기준!$H$29,배점기준!$H$34,IF(I14&gt;=배점기준!$I$29,배점기준!$I$34,IF(I14&gt;=배점기준!$J$29,배점기준!$J$34,IF(I14&gt;=배점기준!$K$29,배점기준!$K$34,IF(I14&lt;배점기준!$L$29,배점기준!$L$34)))))))*I11</f>
        <v>1.05</v>
      </c>
      <c r="J15" s="253">
        <f>IF(J14&gt;=배점기준!$F$29,배점기준!$F$35,IF(J14&gt;=배점기준!$G$29,배점기준!$G$35,IF(J14&gt;=배점기준!$H$29,배점기준!$H$35,IF(J14&gt;=배점기준!$I$29,배점기준!$I$35,IF(J14&gt;=배점기준!$J$29,배점기준!$J$35,IF(J14&gt;=배점기준!$K$29,배점기준!$K$35,IF(J14&lt;배점기준!$L$29,배점기준!$L$35)))))))*J11</f>
        <v>0</v>
      </c>
      <c r="K15" s="253">
        <f>IF(K14&gt;=배점기준!$F$29,배점기준!$F$36,IF(K14&gt;=배점기준!$G$29,배점기준!$G$36,IF(K14&gt;=배점기준!$H$29,배점기준!$H$36,IF(K14&gt;=배점기준!$I$29,배점기준!$I$36,IF(K14&gt;=배점기준!$J$29,배점기준!$J$36,IF(K14&gt;=배점기준!$K$29,배점기준!$K$36,IF(K14&lt;배점기준!$L$29,배점기준!$L$36)))))))*K11</f>
        <v>0</v>
      </c>
      <c r="L15" s="254">
        <f>ROUND(SUM(F15:K15),2)</f>
        <v>4.2</v>
      </c>
    </row>
    <row r="16" spans="1:19" ht="20.100000000000001" customHeight="1">
      <c r="C16" s="964"/>
      <c r="D16" s="243" t="s">
        <v>249</v>
      </c>
      <c r="E16" s="972">
        <f>배점기준!D37</f>
        <v>7</v>
      </c>
      <c r="F16" s="255">
        <f>분야별책임실적!$O$18</f>
        <v>9.1499999999999986</v>
      </c>
      <c r="G16" s="255">
        <f>분야별책임실적!$O$37</f>
        <v>8.75</v>
      </c>
      <c r="H16" s="255">
        <f>분야별책임실적!$O$56</f>
        <v>8.75</v>
      </c>
      <c r="I16" s="255">
        <f>분야별책임실적!$O$75</f>
        <v>8.75</v>
      </c>
      <c r="J16" s="255">
        <f>분야별책임실적!$O$94</f>
        <v>8.75</v>
      </c>
      <c r="K16" s="255">
        <f>분야별책임실적!$O$113</f>
        <v>8.75</v>
      </c>
      <c r="L16" s="256"/>
    </row>
    <row r="17" spans="2:13" ht="20.100000000000001" customHeight="1">
      <c r="C17" s="964"/>
      <c r="D17" s="230" t="s">
        <v>46</v>
      </c>
      <c r="E17" s="973"/>
      <c r="F17" s="252">
        <f>IF(F16&gt;=배점기준!$F$37,배점기준!$F$39,IF(F16&gt;=배점기준!$G$37,배점기준!$G$39,IF(F16&gt;=배점기준!$H$37,배점기준!$H$39,IF(F16&gt;=배점기준!$I$37,배점기준!$I$39,IF(F16&lt;배점기준!$J$37,배점기준!$J$39)))))*F11</f>
        <v>1.4000000000000001</v>
      </c>
      <c r="G17" s="253">
        <f>IF(G16&gt;=배점기준!$F$37,배점기준!$F$40,IF(G16&gt;=배점기준!$G$37,배점기준!$G$40,IF(G16&gt;=배점기준!$H$37,배점기준!$H$40,IF(G16&gt;=배점기준!$I$37,배점기준!$I$40,IF(G16&lt;배점기준!$J$37,배점기준!$J$40)))))*G11</f>
        <v>1.2249999999999999</v>
      </c>
      <c r="H17" s="253">
        <f>IF(H16&gt;=배점기준!$F$37,배점기준!$F$41,IF(H16&gt;=배점기준!$G$37,배점기준!$G$41,IF(H16&gt;=배점기준!$H$37,배점기준!$H$41,IF(H16&gt;=배점기준!$I$37,배점기준!$I$41,IF(H16&lt;배점기준!$J$37,배점기준!$J$41)))))*H11</f>
        <v>1.2249999999999999</v>
      </c>
      <c r="I17" s="253">
        <f>IF(I16&gt;=배점기준!$F$37,배점기준!$F$42,IF(I16&gt;=배점기준!$G$37,배점기준!$G$42,IF(I16&gt;=배점기준!$H$37,배점기준!$H$42,IF(I16&gt;=배점기준!$I$37,배점기준!$I$42,IF(I16&lt;배점기준!$J$37,배점기준!$J$42)))))*I11</f>
        <v>1.2249999999999999</v>
      </c>
      <c r="J17" s="253">
        <f>IF(J16&gt;=배점기준!$F$37,배점기준!$F$43,IF(J16&gt;=배점기준!$G$37,배점기준!$G$43,IF(J16&gt;=배점기준!$H$37,배점기준!$H$43,IF(J16&gt;=배점기준!$I$37,배점기준!$I$43,IF(J16&lt;배점기준!$J$37,배점기준!$J$43)))))*J11</f>
        <v>0</v>
      </c>
      <c r="K17" s="253">
        <f>IF(K16&gt;=배점기준!$F$37,배점기준!$F$44,IF(K16&gt;=배점기준!$G$37,배점기준!$G$44,IF(K16&gt;=배점기준!$H$37,배점기준!$H$44,IF(K16&gt;=배점기준!$I$37,배점기준!$I$44,IF(K16&lt;배점기준!$J$37,배점기준!$J$44)))))*K11</f>
        <v>0</v>
      </c>
      <c r="L17" s="254">
        <f>ROUND(SUM(F17:K17),2)</f>
        <v>5.08</v>
      </c>
    </row>
    <row r="18" spans="2:13" ht="20.100000000000001" customHeight="1">
      <c r="C18" s="964"/>
      <c r="D18" s="230" t="s">
        <v>250</v>
      </c>
      <c r="E18" s="972">
        <f>배점기준!D45</f>
        <v>7</v>
      </c>
      <c r="F18" s="257">
        <f>업무여유도!K18</f>
        <v>0</v>
      </c>
      <c r="G18" s="257">
        <f>업무여유도!K26</f>
        <v>0</v>
      </c>
      <c r="H18" s="257">
        <f>업무여유도!K34</f>
        <v>0</v>
      </c>
      <c r="I18" s="257">
        <f>업무여유도!K42</f>
        <v>0</v>
      </c>
      <c r="J18" s="257">
        <f>업무여유도!K50</f>
        <v>0</v>
      </c>
      <c r="K18" s="257">
        <f>업무여유도!K58</f>
        <v>0</v>
      </c>
      <c r="L18" s="256"/>
    </row>
    <row r="19" spans="2:13" ht="20.100000000000001" customHeight="1">
      <c r="C19" s="965"/>
      <c r="D19" s="230" t="s">
        <v>46</v>
      </c>
      <c r="E19" s="973"/>
      <c r="F19" s="258">
        <f>IF((배점기준!$F$47-(배점기준!$F$47*F18/2.5))&lt;0,0,(배점기준!$F$47-(배점기준!$F$47*F18/2.5)))</f>
        <v>1.75</v>
      </c>
      <c r="G19" s="259">
        <f>IF((배점기준!$F$48-(배점기준!$F$48*G18/2.5))&lt;0,0,(배점기준!$F$48-(배점기준!$F$48*G18/2.5)))</f>
        <v>1.75</v>
      </c>
      <c r="H19" s="259">
        <f>IF((배점기준!$F$49-(배점기준!$F$49*H18/2.5))&lt;0,0,(배점기준!$F$49-(배점기준!$F$49*H18/2.5)))</f>
        <v>1.75</v>
      </c>
      <c r="I19" s="259">
        <f>IF((배점기준!$F$50-(배점기준!$F$50*I18/2.5))&lt;0,0,(배점기준!$F$50-(배점기준!$F$50*I18/2.5)))</f>
        <v>1.75</v>
      </c>
      <c r="J19" s="259">
        <f>IF((배점기준!$F$51-(배점기준!$F$51*J18/2.5))&lt;0,0,(배점기준!$F$51-(배점기준!$F$51*J18/2.5)))</f>
        <v>0</v>
      </c>
      <c r="K19" s="259">
        <f>IF((배점기준!$F$52-(배점기준!$F$52*K18/2.5))&lt;0,0,(배점기준!$F$52-(배점기준!$F$52*K18/2.5)))</f>
        <v>0</v>
      </c>
      <c r="L19" s="254">
        <f>ROUND(SUM(F19:K19),2)</f>
        <v>7</v>
      </c>
    </row>
    <row r="20" spans="2:13" ht="20.100000000000001" customHeight="1">
      <c r="F20" s="260"/>
      <c r="G20" s="260"/>
      <c r="H20" s="260"/>
      <c r="I20" s="260"/>
      <c r="J20" s="260"/>
      <c r="K20" s="260"/>
    </row>
    <row r="21" spans="2:13" s="180" customFormat="1" ht="20.100000000000001" customHeight="1">
      <c r="B21" s="211" t="s">
        <v>353</v>
      </c>
    </row>
    <row r="22" spans="2:13" ht="20.100000000000001" customHeight="1">
      <c r="B22" s="226"/>
      <c r="C22" s="236" t="s">
        <v>44</v>
      </c>
      <c r="D22" s="218" t="s">
        <v>97</v>
      </c>
      <c r="E22" s="219" t="s">
        <v>123</v>
      </c>
      <c r="F22" s="237" t="str">
        <f>배점기준!$E$23</f>
        <v>대기관리</v>
      </c>
      <c r="G22" s="238" t="str">
        <f>배점기준!$E$24</f>
        <v>수질관리</v>
      </c>
      <c r="H22" s="238" t="str">
        <f>배점기준!$E$25</f>
        <v>소음진동</v>
      </c>
      <c r="I22" s="238" t="str">
        <f>배점기준!$E$26</f>
        <v>폐기물처리</v>
      </c>
      <c r="J22" s="239">
        <f>배점기준!$C$7</f>
        <v>0</v>
      </c>
      <c r="K22" s="239">
        <f>배점기준!$C$8</f>
        <v>0</v>
      </c>
      <c r="L22" s="966" t="s">
        <v>45</v>
      </c>
      <c r="M22" s="226"/>
    </row>
    <row r="23" spans="2:13" ht="20.100000000000001" customHeight="1">
      <c r="B23" s="226"/>
      <c r="C23" s="963" t="str">
        <f>C4</f>
        <v>㈜ㅁㅁ엔지니어링+ㅇㅇ엔지니어링㈜+◇◇기술공사㈜</v>
      </c>
      <c r="D23" s="240" t="s">
        <v>98</v>
      </c>
      <c r="E23" s="240" t="s">
        <v>358</v>
      </c>
      <c r="F23" s="261">
        <v>1</v>
      </c>
      <c r="G23" s="262">
        <v>1</v>
      </c>
      <c r="H23" s="262">
        <v>1</v>
      </c>
      <c r="I23" s="262">
        <v>1</v>
      </c>
      <c r="J23" s="262">
        <v>1</v>
      </c>
      <c r="K23" s="261">
        <v>1</v>
      </c>
      <c r="L23" s="967"/>
      <c r="M23" s="226"/>
    </row>
    <row r="24" spans="2:13" ht="20.100000000000001" customHeight="1">
      <c r="C24" s="964"/>
      <c r="D24" s="243" t="s">
        <v>50</v>
      </c>
      <c r="E24" s="972">
        <f>배점기준!D53</f>
        <v>5</v>
      </c>
      <c r="F24" s="244" t="s">
        <v>237</v>
      </c>
      <c r="G24" s="245" t="s">
        <v>237</v>
      </c>
      <c r="H24" s="245" t="s">
        <v>237</v>
      </c>
      <c r="I24" s="245" t="s">
        <v>237</v>
      </c>
      <c r="J24" s="245" t="s">
        <v>237</v>
      </c>
      <c r="K24" s="245" t="s">
        <v>235</v>
      </c>
      <c r="L24" s="263"/>
    </row>
    <row r="25" spans="2:13" ht="20.100000000000001" customHeight="1">
      <c r="C25" s="964"/>
      <c r="D25" s="230" t="s">
        <v>46</v>
      </c>
      <c r="E25" s="973"/>
      <c r="F25" s="264">
        <f>IF(F24=배점기준!$F$53,배점기준!$F$55,IF(F24=배점기준!$G$53,배점기준!$G$55,IF(F24=배점기준!$H$53,배점기준!$H$55,IF(F24=배점기준!$I$53,배점기준!$IIF$55,IF(F24=배점기준!$J$53,배점기준!$J$55,IF(F24=배점기준!$K$53,배점기준!$K$55,0))))))*F23</f>
        <v>1.25</v>
      </c>
      <c r="G25" s="265">
        <f>IF(G24=배점기준!$F$53,배점기준!$F$56,IF(G24=배점기준!$G$53,배점기준!$G$56,IF(G24=배점기준!$H$53,배점기준!$H$56,IF(G24=배점기준!$I$53,배점기준!$IIF$56,IF(G24=배점기준!$J$53,배점기준!$J$56,IF(G24=배점기준!$K$53,배점기준!$K$56,0))))))*G23</f>
        <v>1.25</v>
      </c>
      <c r="H25" s="265">
        <f>IF(H24=배점기준!$F$53,배점기준!$F$57,IF(H24=배점기준!$G$53,배점기준!$G$57,IF(H24=배점기준!$H$53,배점기준!$H$57,IF(H24=배점기준!$I$53,배점기준!$IIF$57,IF(H24=배점기준!$J$53,배점기준!$J$57,IF(H24=배점기준!$K$53,배점기준!$K$57,0))))))*H23</f>
        <v>1.25</v>
      </c>
      <c r="I25" s="265">
        <f>IF(I24=배점기준!$F$53,배점기준!$F$58,IF(I24=배점기준!$G$53,배점기준!$G$58,IF(I24=배점기준!$H$53,배점기준!$H$58,IF(I24=배점기준!$I$53,배점기준!$IIF$58,IF(I24=배점기준!$J$53,배점기준!$J$58,IF(I24=배점기준!$K$53,배점기준!$K$58,0))))))*I23</f>
        <v>1.25</v>
      </c>
      <c r="J25" s="265">
        <f>IF(J24=배점기준!$F$53,배점기준!$F$59,IF(J24=배점기준!$G$53,배점기준!$G$59,IF(J24=배점기준!$H$53,배점기준!$H$59,IF(J24=배점기준!$I$53,배점기준!$IIF$59,IF(J24=배점기준!$J$53,배점기준!$J$59,IF(J24=배점기준!$K$53,배점기준!$K$59,0))))))*J23</f>
        <v>0</v>
      </c>
      <c r="K25" s="265">
        <f>IF(K24=배점기준!$F$53,배점기준!$F$60,IF(K24=배점기준!$G$53,배점기준!$G$60,IF(K24=배점기준!$H$53,배점기준!$H$60,IF(K24=배점기준!$I$53,배점기준!$IIF$60,IF(K24=배점기준!$J$53,배점기준!$J$60,IF(K24=배점기준!$K$53,배점기준!$K$60,0))))))*K23</f>
        <v>0</v>
      </c>
      <c r="L25" s="266">
        <f>SUM(F25:K25)</f>
        <v>5</v>
      </c>
    </row>
    <row r="26" spans="2:13" ht="20.100000000000001" customHeight="1">
      <c r="C26" s="964"/>
      <c r="D26" s="243" t="s">
        <v>51</v>
      </c>
      <c r="E26" s="972">
        <f>배점기준!D61</f>
        <v>6</v>
      </c>
      <c r="F26" s="250">
        <f>분야별경력!J20</f>
        <v>0</v>
      </c>
      <c r="G26" s="250">
        <f>분야별책임경력!J41</f>
        <v>0</v>
      </c>
      <c r="H26" s="250">
        <f>분야별경력!J58</f>
        <v>0</v>
      </c>
      <c r="I26" s="250">
        <f>분야별경력!J77</f>
        <v>0</v>
      </c>
      <c r="J26" s="250">
        <f>분야별경력!J96</f>
        <v>0</v>
      </c>
      <c r="K26" s="250">
        <f>분야별경력!J115</f>
        <v>0</v>
      </c>
      <c r="L26" s="267"/>
    </row>
    <row r="27" spans="2:13" ht="20.100000000000001" customHeight="1">
      <c r="C27" s="964"/>
      <c r="D27" s="230" t="s">
        <v>46</v>
      </c>
      <c r="E27" s="973"/>
      <c r="F27" s="268">
        <f>IF(F26&gt;=배점기준!$F$61,배점기준!$F$63,IF(F26&gt;=배점기준!$G$61,배점기준!$G$63,IF(F26&gt;=배점기준!$H$61,배점기준!$H$63,IF(F26&gt;=배점기준!$I$61,배점기준!$I$63,배점기준!$J$63))))*F23</f>
        <v>1.5</v>
      </c>
      <c r="G27" s="269">
        <f>IF(G26&gt;=배점기준!$F$61,배점기준!$F$64,IF(G26&gt;=배점기준!$G$61,배점기준!$G$64,IF(G26&gt;=배점기준!$H$61,배점기준!$H$64,IF(G26&gt;=배점기준!$I$61,배점기준!$I$64,배점기준!$J$64))))*G23</f>
        <v>1.5</v>
      </c>
      <c r="H27" s="269">
        <f>IF(H26&gt;=배점기준!$F$61,배점기준!$F$65,IF(H26&gt;=배점기준!$G$61,배점기준!$G$65,IF(H26&gt;=배점기준!$H$61,배점기준!$H$65,IF(H26&gt;=배점기준!$I$61,배점기준!$I$65,배점기준!$J$65))))*H23</f>
        <v>1.5</v>
      </c>
      <c r="I27" s="269">
        <f>IF(I26&gt;=배점기준!$F$61,배점기준!$F$66,IF(I26&gt;=배점기준!$G$61,배점기준!$G$66,IF(I26&gt;=배점기준!$H$61,배점기준!$H$66,IF(I26&gt;=배점기준!$I$61,배점기준!$I$66,배점기준!$J$66))))*I23</f>
        <v>1.5</v>
      </c>
      <c r="J27" s="269">
        <f>IF(J26&gt;=배점기준!$F$61,배점기준!$F$67,IF(J26&gt;=배점기준!$G$61,배점기준!$G$67,IF(J26&gt;=배점기준!$H$61,배점기준!$H$67,IF(J26&gt;=배점기준!$I$61,배점기준!$I$67,배점기준!$J$67))))*J23</f>
        <v>0</v>
      </c>
      <c r="K27" s="269">
        <f>IF(K26&gt;=배점기준!$F$61,배점기준!$F$68,IF(K26&gt;=배점기준!$G$61,배점기준!$G$68,IF(K26&gt;=배점기준!$H$61,배점기준!$H$68,IF(K26&gt;=배점기준!$I$61,배점기준!$I$68,배점기준!$J$68))))*K23</f>
        <v>0</v>
      </c>
      <c r="L27" s="270">
        <f>ROUND(SUM(F27:K27),2)</f>
        <v>6</v>
      </c>
    </row>
    <row r="28" spans="2:13" ht="20.100000000000001" customHeight="1">
      <c r="C28" s="964"/>
      <c r="D28" s="243" t="s">
        <v>249</v>
      </c>
      <c r="E28" s="972">
        <f>배점기준!D69</f>
        <v>6</v>
      </c>
      <c r="F28" s="250">
        <f>분야별실적!$O$18</f>
        <v>9.1499999999999986</v>
      </c>
      <c r="G28" s="250">
        <f>분야별실적!$O$37</f>
        <v>8.75</v>
      </c>
      <c r="H28" s="250">
        <f>분야별실적!$O$56</f>
        <v>8.75</v>
      </c>
      <c r="I28" s="250">
        <f>분야별실적!$O$75</f>
        <v>8.75</v>
      </c>
      <c r="J28" s="250">
        <f>분야별실적!$O$94</f>
        <v>8.75</v>
      </c>
      <c r="K28" s="250">
        <f>분야별실적!$O$113</f>
        <v>8.75</v>
      </c>
      <c r="L28" s="256"/>
    </row>
    <row r="29" spans="2:13" ht="20.100000000000001" customHeight="1">
      <c r="C29" s="964"/>
      <c r="D29" s="230" t="s">
        <v>46</v>
      </c>
      <c r="E29" s="973"/>
      <c r="F29" s="258">
        <f>IF(F28&gt;=배점기준!$F$69,배점기준!$F$71,IF(F28&gt;=배점기준!$G$69,배점기준!$G$71,IF(F28&gt;=배점기준!$H$69,배점기준!$H$71,IF(F28&gt;=배점기준!$I$69,배점기준!$I$71,IF(F28&lt;배점기준!$J$69,배점기준!$J$71)))))*F23</f>
        <v>1.5</v>
      </c>
      <c r="G29" s="259">
        <f>IF(G28&gt;=배점기준!$F$69,배점기준!$F$72,IF(G28&gt;=배점기준!$G$69,배점기준!$G$72,IF(G28&gt;=배점기준!$H$69,배점기준!$H$72,IF(G28&gt;=배점기준!$I$69,배점기준!$I$72,IF(G28&lt;배점기준!$J$69,배점기준!$J$72)))))*G23</f>
        <v>1.35</v>
      </c>
      <c r="H29" s="259">
        <f>IF(H28&gt;=배점기준!$F$69,배점기준!$F$73,IF(H28&gt;=배점기준!$G$69,배점기준!$G$73,IF(H28&gt;=배점기준!$H$69,배점기준!$H$73,IF(H28&gt;=배점기준!$I$69,배점기준!$I$73,IF(H28&lt;배점기준!$J$69,배점기준!$J$73)))))*H23</f>
        <v>1.35</v>
      </c>
      <c r="I29" s="259">
        <f>IF(I28&gt;=배점기준!$F$69,배점기준!$F$74,IF(I28&gt;=배점기준!$G$69,배점기준!$G$74,IF(I28&gt;=배점기준!$H$69,배점기준!$H$74,IF(I28&gt;=배점기준!$I$69,배점기준!$I$74,IF(I28&lt;배점기준!$J$69,배점기준!$J$74)))))*I23</f>
        <v>1.35</v>
      </c>
      <c r="J29" s="259">
        <f>IF(J28&gt;=배점기준!$F$69,배점기준!$F$75,IF(J28&gt;=배점기준!$G$69,배점기준!$G$75,IF(J28&gt;=배점기준!$H$69,배점기준!$H$75,IF(J28&gt;=배점기준!$I$69,배점기준!$I$75,IF(J28&lt;배점기준!$J$69,배점기준!$J$75)))))*J23</f>
        <v>0</v>
      </c>
      <c r="K29" s="259">
        <f>IF(K28&gt;=배점기준!$F$69,배점기준!$F$76,IF(K28&gt;=배점기준!$G$69,배점기준!$G$76,IF(K28&gt;=배점기준!$H$69,배점기준!$H$76,IF(K28&gt;=배점기준!$I$69,배점기준!$I$76,IF(K28&lt;배점기준!$J$69,배점기준!$J$76)))))*K23</f>
        <v>0</v>
      </c>
      <c r="L29" s="249">
        <f>ROUND(SUM(F29:K29),2)</f>
        <v>5.55</v>
      </c>
    </row>
    <row r="30" spans="2:13" ht="20.100000000000001" customHeight="1">
      <c r="C30" s="964"/>
      <c r="D30" s="230" t="s">
        <v>250</v>
      </c>
      <c r="E30" s="972">
        <f>배점기준!D77</f>
        <v>6</v>
      </c>
      <c r="F30" s="257">
        <f>업무여유도!K67</f>
        <v>0</v>
      </c>
      <c r="G30" s="257">
        <f>업무여유도!K75</f>
        <v>0</v>
      </c>
      <c r="H30" s="257">
        <f>업무여유도!K83</f>
        <v>0</v>
      </c>
      <c r="I30" s="257">
        <f>업무여유도!K91</f>
        <v>0</v>
      </c>
      <c r="J30" s="257">
        <f>업무여유도!K99</f>
        <v>0</v>
      </c>
      <c r="K30" s="257">
        <f>업무여유도!K107</f>
        <v>0</v>
      </c>
      <c r="L30" s="256"/>
    </row>
    <row r="31" spans="2:13" ht="20.100000000000001" customHeight="1">
      <c r="C31" s="965"/>
      <c r="D31" s="230" t="s">
        <v>46</v>
      </c>
      <c r="E31" s="973"/>
      <c r="F31" s="258">
        <f>IF((배점기준!$F$79-(배점기준!$F$79*F30/2.5))&lt;0,0,(배점기준!$F$79-(배점기준!$F$79*F30/2.5)))</f>
        <v>1.5</v>
      </c>
      <c r="G31" s="259">
        <f>IF((배점기준!$F$80-(배점기준!$F$80*G30/2.5))&lt;0,0,(배점기준!$F$80-(배점기준!$F$80*G30/2.5)))</f>
        <v>1.5</v>
      </c>
      <c r="H31" s="259">
        <f>IF((배점기준!$F$81-(배점기준!$F$81*H30/2.5))&lt;0,0,(배점기준!$F$81-(배점기준!$F$81*H30/2.5)))</f>
        <v>1.5</v>
      </c>
      <c r="I31" s="259">
        <f>IF((배점기준!$F$82-(배점기준!$F$82*I30/2.5))&lt;0,0,(배점기준!$F$82-(배점기준!$F$82*I30/2.5)))</f>
        <v>1.5</v>
      </c>
      <c r="J31" s="259">
        <f>IF((배점기준!$F$83-(배점기준!$F$83*J30/2.5))&lt;0,0,(배점기준!$F$83-(배점기준!$F$83*J30/2.5)))</f>
        <v>0</v>
      </c>
      <c r="K31" s="259">
        <f>IF((배점기준!$F$84-(배점기준!$F$84*K30/2.5))&lt;0,0,(배점기준!$F$84-(배점기준!$F$84*K30/2.5)))</f>
        <v>0</v>
      </c>
      <c r="L31" s="254">
        <f>ROUND(SUM(F31:K31),2)</f>
        <v>6</v>
      </c>
    </row>
    <row r="32" spans="2:13" ht="20.100000000000001" customHeight="1"/>
    <row r="33" spans="2:12" ht="20.100000000000001" customHeight="1">
      <c r="B33" s="216" t="s">
        <v>0</v>
      </c>
      <c r="C33" s="180"/>
      <c r="D33" s="180"/>
    </row>
    <row r="34" spans="2:12" ht="20.100000000000001" customHeight="1">
      <c r="C34" s="220" t="s">
        <v>246</v>
      </c>
      <c r="D34" s="960" t="s">
        <v>247</v>
      </c>
      <c r="E34" s="960"/>
      <c r="F34" s="220" t="s">
        <v>45</v>
      </c>
    </row>
    <row r="35" spans="2:12" ht="20.100000000000001" customHeight="1">
      <c r="C35" s="271">
        <f>교육훈련!G10</f>
        <v>5</v>
      </c>
      <c r="D35" s="961">
        <f>-교육훈련!G18</f>
        <v>-5</v>
      </c>
      <c r="E35" s="961"/>
      <c r="F35" s="272">
        <f>(C35/배점기준!$E$3*배점기준!F86+D35/배점기준!$E$3*배점기준!G86)</f>
        <v>0.27777777777777779</v>
      </c>
    </row>
    <row r="36" spans="2:12" ht="20.100000000000001" customHeight="1">
      <c r="C36" s="273"/>
      <c r="D36" s="273"/>
      <c r="F36" s="273"/>
      <c r="G36" s="273"/>
    </row>
    <row r="37" spans="2:12" ht="20.100000000000001" customHeight="1">
      <c r="B37" s="216" t="s">
        <v>0</v>
      </c>
      <c r="C37" s="211" t="s">
        <v>373</v>
      </c>
      <c r="D37" s="180"/>
    </row>
    <row r="38" spans="2:12" ht="20.100000000000001" customHeight="1">
      <c r="C38" s="220" t="s">
        <v>374</v>
      </c>
      <c r="D38" s="960" t="s">
        <v>375</v>
      </c>
      <c r="E38" s="960"/>
      <c r="F38" s="220" t="s">
        <v>45</v>
      </c>
    </row>
    <row r="39" spans="2:12" ht="20.100000000000001" customHeight="1">
      <c r="C39" s="271">
        <f>배점기준!E3</f>
        <v>9</v>
      </c>
      <c r="D39" s="961">
        <f>과업의이해도!K11</f>
        <v>2</v>
      </c>
      <c r="E39" s="961"/>
      <c r="F39" s="272">
        <f>ROUND(배점기준!F88*(평가자!D39/평가자!C39),2)</f>
        <v>0.22</v>
      </c>
    </row>
    <row r="40" spans="2:12" ht="25.5" customHeight="1"/>
    <row r="41" spans="2:12" ht="66" customHeight="1">
      <c r="C41" s="962" t="s">
        <v>136</v>
      </c>
      <c r="D41" s="962"/>
      <c r="E41" s="962"/>
      <c r="F41" s="962"/>
      <c r="G41" s="962"/>
      <c r="H41" s="962"/>
      <c r="I41" s="962"/>
      <c r="J41" s="962"/>
      <c r="K41" s="962"/>
      <c r="L41" s="962"/>
    </row>
  </sheetData>
  <protectedRanges>
    <protectedRange password="CF2F" sqref="G4 F14:K14 F4:F5 F11:K12 F23:K24 F26:K26 F7" name="범위2"/>
  </protectedRanges>
  <mergeCells count="19">
    <mergeCell ref="C4:C7"/>
    <mergeCell ref="L22:L23"/>
    <mergeCell ref="L10:L11"/>
    <mergeCell ref="G4:G6"/>
    <mergeCell ref="C11:C19"/>
    <mergeCell ref="C23:C31"/>
    <mergeCell ref="E12:E13"/>
    <mergeCell ref="E14:E15"/>
    <mergeCell ref="E16:E17"/>
    <mergeCell ref="E18:E19"/>
    <mergeCell ref="E24:E25"/>
    <mergeCell ref="E26:E27"/>
    <mergeCell ref="E28:E29"/>
    <mergeCell ref="E30:E31"/>
    <mergeCell ref="D34:E34"/>
    <mergeCell ref="D35:E35"/>
    <mergeCell ref="D38:E38"/>
    <mergeCell ref="D39:E39"/>
    <mergeCell ref="C41:L41"/>
  </mergeCells>
  <phoneticPr fontId="2" type="noConversion"/>
  <dataValidations disablePrompts="1" count="3">
    <dataValidation type="list" allowBlank="1" showInputMessage="1" showErrorMessage="1" sqref="F4">
      <formula1>$O$5:$O$7</formula1>
    </dataValidation>
    <dataValidation type="list" allowBlank="1" showInputMessage="1" showErrorMessage="1" sqref="F12:K12">
      <formula1>$O$5:$O$9</formula1>
    </dataValidation>
    <dataValidation type="list" allowBlank="1" showInputMessage="1" showErrorMessage="1" sqref="F24:K24">
      <formula1>$O$5:$O$10</formula1>
    </dataValidation>
  </dataValidations>
  <pageMargins left="0.74803149606299213" right="0.74803149606299213" top="0.78740157480314965" bottom="0.78740157480314965" header="0.51181102362204722" footer="0.51181102362204722"/>
  <pageSetup paperSize="9" scale="58" orientation="landscape" horizontalDpi="4294967293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43"/>
  </sheetPr>
  <dimension ref="A1:T132"/>
  <sheetViews>
    <sheetView view="pageBreakPreview" zoomScaleNormal="85" zoomScaleSheetLayoutView="100" workbookViewId="0">
      <pane xSplit="4" topLeftCell="E1" activePane="topRight" state="frozen"/>
      <selection activeCell="I42" sqref="I42"/>
      <selection pane="topRight" activeCell="M17" sqref="M17"/>
    </sheetView>
  </sheetViews>
  <sheetFormatPr defaultRowHeight="12" customHeight="1"/>
  <cols>
    <col min="1" max="1" width="3.77734375" style="318" customWidth="1"/>
    <col min="2" max="2" width="5.88671875" style="318" customWidth="1"/>
    <col min="3" max="3" width="31.21875" style="324" customWidth="1"/>
    <col min="4" max="4" width="26.77734375" style="324" customWidth="1"/>
    <col min="5" max="5" width="10.21875" style="324" customWidth="1"/>
    <col min="6" max="7" width="10.33203125" style="324" bestFit="1" customWidth="1"/>
    <col min="8" max="8" width="6.5546875" style="325" customWidth="1"/>
    <col min="9" max="9" width="8.33203125" style="319" customWidth="1"/>
    <col min="10" max="10" width="8.77734375" style="321" customWidth="1"/>
    <col min="11" max="11" width="8.33203125" style="322" customWidth="1"/>
    <col min="12" max="12" width="5.33203125" style="323" customWidth="1"/>
    <col min="13" max="16384" width="8.88671875" style="323"/>
  </cols>
  <sheetData>
    <row r="1" spans="1:20" s="279" customFormat="1" ht="23.25" customHeight="1">
      <c r="A1" s="986" t="s">
        <v>378</v>
      </c>
      <c r="B1" s="986"/>
      <c r="C1" s="986"/>
      <c r="D1" s="274" t="s">
        <v>2</v>
      </c>
      <c r="E1" s="275"/>
      <c r="F1" s="275"/>
      <c r="G1" s="275"/>
      <c r="H1" s="275"/>
      <c r="I1" s="275"/>
      <c r="J1" s="276"/>
      <c r="K1" s="277"/>
      <c r="L1" s="278"/>
    </row>
    <row r="2" spans="1:20" s="284" customFormat="1" ht="9" customHeight="1" thickBot="1">
      <c r="A2" s="280"/>
      <c r="B2" s="280"/>
      <c r="C2" s="281"/>
      <c r="D2" s="280"/>
      <c r="E2" s="280"/>
      <c r="F2" s="280"/>
      <c r="G2" s="280"/>
      <c r="H2" s="280"/>
      <c r="I2" s="280"/>
      <c r="J2" s="282"/>
      <c r="K2" s="283"/>
    </row>
    <row r="3" spans="1:20" s="286" customFormat="1" ht="24.95" customHeight="1">
      <c r="A3" s="987" t="s">
        <v>6</v>
      </c>
      <c r="B3" s="980" t="s">
        <v>643</v>
      </c>
      <c r="C3" s="989" t="s">
        <v>7</v>
      </c>
      <c r="D3" s="980" t="s">
        <v>8</v>
      </c>
      <c r="E3" s="980" t="s">
        <v>253</v>
      </c>
      <c r="F3" s="991" t="s">
        <v>384</v>
      </c>
      <c r="G3" s="992"/>
      <c r="H3" s="992"/>
      <c r="I3" s="976" t="s">
        <v>482</v>
      </c>
      <c r="J3" s="285" t="s">
        <v>483</v>
      </c>
      <c r="K3" s="978" t="s">
        <v>386</v>
      </c>
      <c r="L3" s="982" t="s">
        <v>9</v>
      </c>
    </row>
    <row r="4" spans="1:20" s="286" customFormat="1" ht="24.95" customHeight="1">
      <c r="A4" s="988"/>
      <c r="B4" s="981"/>
      <c r="C4" s="990"/>
      <c r="D4" s="981"/>
      <c r="E4" s="981"/>
      <c r="F4" s="287" t="s">
        <v>387</v>
      </c>
      <c r="G4" s="287" t="s">
        <v>388</v>
      </c>
      <c r="H4" s="288" t="s">
        <v>179</v>
      </c>
      <c r="I4" s="977"/>
      <c r="J4" s="143" t="s">
        <v>215</v>
      </c>
      <c r="K4" s="979"/>
      <c r="L4" s="983"/>
    </row>
    <row r="5" spans="1:20" s="296" customFormat="1" ht="24.95" customHeight="1">
      <c r="A5" s="289">
        <v>1</v>
      </c>
      <c r="B5" s="839"/>
      <c r="C5" s="290" t="s">
        <v>172</v>
      </c>
      <c r="D5" s="290" t="s">
        <v>4</v>
      </c>
      <c r="E5" s="291" t="s">
        <v>10</v>
      </c>
      <c r="F5" s="292">
        <v>34645</v>
      </c>
      <c r="G5" s="292">
        <v>36522</v>
      </c>
      <c r="H5" s="293">
        <f>G5-F5+1</f>
        <v>1878</v>
      </c>
      <c r="I5" s="294"/>
      <c r="J5" s="295">
        <v>0.6</v>
      </c>
      <c r="K5" s="333">
        <f>ROUND(I5*J5,0)</f>
        <v>0</v>
      </c>
      <c r="L5" s="984"/>
    </row>
    <row r="6" spans="1:20" s="298" customFormat="1" ht="24.95" customHeight="1">
      <c r="A6" s="297">
        <v>2</v>
      </c>
      <c r="B6" s="840"/>
      <c r="C6" s="290" t="s">
        <v>173</v>
      </c>
      <c r="D6" s="290" t="s">
        <v>4</v>
      </c>
      <c r="E6" s="291" t="s">
        <v>10</v>
      </c>
      <c r="F6" s="292">
        <v>34692</v>
      </c>
      <c r="G6" s="292">
        <v>37063</v>
      </c>
      <c r="H6" s="293">
        <f t="shared" ref="H6:H18" si="0">G6-F6+1</f>
        <v>2372</v>
      </c>
      <c r="I6" s="294"/>
      <c r="J6" s="295">
        <v>0.6</v>
      </c>
      <c r="K6" s="333">
        <f t="shared" ref="K6:K18" si="1">ROUND(I6*J6,0)</f>
        <v>0</v>
      </c>
      <c r="L6" s="985"/>
      <c r="T6" s="299" t="s">
        <v>251</v>
      </c>
    </row>
    <row r="7" spans="1:20" s="298" customFormat="1" ht="24.95" customHeight="1">
      <c r="A7" s="297">
        <v>3</v>
      </c>
      <c r="B7" s="840"/>
      <c r="C7" s="290" t="s">
        <v>174</v>
      </c>
      <c r="D7" s="290" t="s">
        <v>4</v>
      </c>
      <c r="E7" s="291" t="s">
        <v>10</v>
      </c>
      <c r="F7" s="292">
        <v>34967</v>
      </c>
      <c r="G7" s="292">
        <v>36871</v>
      </c>
      <c r="H7" s="293">
        <f t="shared" si="0"/>
        <v>1905</v>
      </c>
      <c r="I7" s="294"/>
      <c r="J7" s="295">
        <v>0.6</v>
      </c>
      <c r="K7" s="333">
        <f t="shared" si="1"/>
        <v>0</v>
      </c>
      <c r="L7" s="985"/>
      <c r="T7" s="300">
        <v>1</v>
      </c>
    </row>
    <row r="8" spans="1:20" s="298" customFormat="1" ht="24.95" customHeight="1">
      <c r="A8" s="297">
        <v>4</v>
      </c>
      <c r="B8" s="840"/>
      <c r="C8" s="290" t="s">
        <v>175</v>
      </c>
      <c r="D8" s="290" t="s">
        <v>4</v>
      </c>
      <c r="E8" s="291" t="s">
        <v>10</v>
      </c>
      <c r="F8" s="292">
        <v>36194</v>
      </c>
      <c r="G8" s="292">
        <v>37008</v>
      </c>
      <c r="H8" s="293">
        <f t="shared" si="0"/>
        <v>815</v>
      </c>
      <c r="I8" s="294"/>
      <c r="J8" s="295">
        <v>0.6</v>
      </c>
      <c r="K8" s="333">
        <f t="shared" si="1"/>
        <v>0</v>
      </c>
      <c r="L8" s="985"/>
      <c r="T8" s="300">
        <v>0.6</v>
      </c>
    </row>
    <row r="9" spans="1:20" s="298" customFormat="1" ht="24.95" customHeight="1">
      <c r="A9" s="297">
        <v>5</v>
      </c>
      <c r="B9" s="840"/>
      <c r="C9" s="290" t="s">
        <v>11</v>
      </c>
      <c r="D9" s="290" t="s">
        <v>4</v>
      </c>
      <c r="E9" s="291" t="s">
        <v>10</v>
      </c>
      <c r="F9" s="292">
        <v>37369</v>
      </c>
      <c r="G9" s="292">
        <v>37954</v>
      </c>
      <c r="H9" s="293">
        <f t="shared" si="0"/>
        <v>586</v>
      </c>
      <c r="I9" s="294"/>
      <c r="J9" s="295">
        <v>1</v>
      </c>
      <c r="K9" s="333">
        <f t="shared" si="1"/>
        <v>0</v>
      </c>
      <c r="L9" s="985"/>
    </row>
    <row r="10" spans="1:20" s="296" customFormat="1" ht="24.95" customHeight="1">
      <c r="A10" s="297">
        <v>7</v>
      </c>
      <c r="B10" s="840"/>
      <c r="C10" s="290" t="s">
        <v>176</v>
      </c>
      <c r="D10" s="290" t="s">
        <v>4</v>
      </c>
      <c r="E10" s="291" t="s">
        <v>10</v>
      </c>
      <c r="F10" s="292">
        <v>37673</v>
      </c>
      <c r="G10" s="292">
        <v>38929</v>
      </c>
      <c r="H10" s="293">
        <f t="shared" si="0"/>
        <v>1257</v>
      </c>
      <c r="I10" s="294"/>
      <c r="J10" s="295">
        <v>0.6</v>
      </c>
      <c r="K10" s="333">
        <f t="shared" si="1"/>
        <v>0</v>
      </c>
      <c r="L10" s="985"/>
    </row>
    <row r="11" spans="1:20" s="296" customFormat="1" ht="24.95" customHeight="1">
      <c r="A11" s="297">
        <v>8</v>
      </c>
      <c r="B11" s="840"/>
      <c r="C11" s="290" t="s">
        <v>177</v>
      </c>
      <c r="D11" s="290" t="s">
        <v>4</v>
      </c>
      <c r="E11" s="291" t="s">
        <v>10</v>
      </c>
      <c r="F11" s="292">
        <v>38240</v>
      </c>
      <c r="G11" s="292">
        <v>39562</v>
      </c>
      <c r="H11" s="293">
        <f t="shared" si="0"/>
        <v>1323</v>
      </c>
      <c r="I11" s="294"/>
      <c r="J11" s="295">
        <v>1</v>
      </c>
      <c r="K11" s="333">
        <f t="shared" si="1"/>
        <v>0</v>
      </c>
      <c r="L11" s="985"/>
    </row>
    <row r="12" spans="1:20" s="296" customFormat="1" ht="24.95" customHeight="1">
      <c r="A12" s="297">
        <v>9</v>
      </c>
      <c r="B12" s="840"/>
      <c r="C12" s="290" t="s">
        <v>12</v>
      </c>
      <c r="D12" s="290" t="s">
        <v>4</v>
      </c>
      <c r="E12" s="291" t="s">
        <v>10</v>
      </c>
      <c r="F12" s="292">
        <v>38078</v>
      </c>
      <c r="G12" s="292">
        <v>38660</v>
      </c>
      <c r="H12" s="293">
        <f t="shared" si="0"/>
        <v>583</v>
      </c>
      <c r="I12" s="294"/>
      <c r="J12" s="295">
        <v>0.6</v>
      </c>
      <c r="K12" s="333">
        <f t="shared" si="1"/>
        <v>0</v>
      </c>
      <c r="L12" s="985"/>
    </row>
    <row r="13" spans="1:20" s="296" customFormat="1" ht="24.95" customHeight="1">
      <c r="A13" s="297">
        <v>10</v>
      </c>
      <c r="B13" s="840"/>
      <c r="C13" s="290" t="s">
        <v>13</v>
      </c>
      <c r="D13" s="290" t="s">
        <v>4</v>
      </c>
      <c r="E13" s="291" t="s">
        <v>10</v>
      </c>
      <c r="F13" s="301">
        <v>38127</v>
      </c>
      <c r="G13" s="301">
        <v>38717</v>
      </c>
      <c r="H13" s="293">
        <f t="shared" si="0"/>
        <v>591</v>
      </c>
      <c r="I13" s="294"/>
      <c r="J13" s="295">
        <v>1</v>
      </c>
      <c r="K13" s="333">
        <f t="shared" si="1"/>
        <v>0</v>
      </c>
      <c r="L13" s="985"/>
    </row>
    <row r="14" spans="1:20" s="296" customFormat="1" ht="24.95" customHeight="1">
      <c r="A14" s="297">
        <v>11</v>
      </c>
      <c r="B14" s="840"/>
      <c r="C14" s="290" t="s">
        <v>14</v>
      </c>
      <c r="D14" s="290" t="s">
        <v>4</v>
      </c>
      <c r="E14" s="291" t="s">
        <v>10</v>
      </c>
      <c r="F14" s="301">
        <v>38098</v>
      </c>
      <c r="G14" s="292">
        <v>38717</v>
      </c>
      <c r="H14" s="293">
        <f t="shared" si="0"/>
        <v>620</v>
      </c>
      <c r="I14" s="294"/>
      <c r="J14" s="295">
        <v>0.6</v>
      </c>
      <c r="K14" s="333">
        <f t="shared" si="1"/>
        <v>0</v>
      </c>
      <c r="L14" s="985"/>
    </row>
    <row r="15" spans="1:20" s="296" customFormat="1" ht="24.95" customHeight="1">
      <c r="A15" s="297">
        <v>12</v>
      </c>
      <c r="B15" s="840"/>
      <c r="C15" s="290" t="s">
        <v>15</v>
      </c>
      <c r="D15" s="290" t="s">
        <v>4</v>
      </c>
      <c r="E15" s="291" t="s">
        <v>10</v>
      </c>
      <c r="F15" s="301">
        <v>37376</v>
      </c>
      <c r="G15" s="301">
        <v>38730</v>
      </c>
      <c r="H15" s="293">
        <f t="shared" si="0"/>
        <v>1355</v>
      </c>
      <c r="I15" s="294"/>
      <c r="J15" s="295">
        <v>1</v>
      </c>
      <c r="K15" s="333">
        <f t="shared" si="1"/>
        <v>0</v>
      </c>
      <c r="L15" s="985"/>
    </row>
    <row r="16" spans="1:20" s="296" customFormat="1" ht="24.95" customHeight="1">
      <c r="A16" s="297">
        <v>13</v>
      </c>
      <c r="B16" s="840"/>
      <c r="C16" s="290" t="s">
        <v>16</v>
      </c>
      <c r="D16" s="290" t="s">
        <v>4</v>
      </c>
      <c r="E16" s="291" t="s">
        <v>10</v>
      </c>
      <c r="F16" s="301">
        <v>38750</v>
      </c>
      <c r="G16" s="292">
        <v>39082</v>
      </c>
      <c r="H16" s="293">
        <f t="shared" si="0"/>
        <v>333</v>
      </c>
      <c r="I16" s="294"/>
      <c r="J16" s="295">
        <v>0.6</v>
      </c>
      <c r="K16" s="333">
        <f t="shared" si="1"/>
        <v>0</v>
      </c>
      <c r="L16" s="985"/>
    </row>
    <row r="17" spans="1:12" s="296" customFormat="1" ht="24.95" customHeight="1">
      <c r="A17" s="297">
        <v>15</v>
      </c>
      <c r="B17" s="840"/>
      <c r="C17" s="290" t="s">
        <v>178</v>
      </c>
      <c r="D17" s="290" t="s">
        <v>4</v>
      </c>
      <c r="E17" s="291" t="s">
        <v>10</v>
      </c>
      <c r="F17" s="301">
        <v>37435</v>
      </c>
      <c r="G17" s="292">
        <v>39414</v>
      </c>
      <c r="H17" s="293">
        <f t="shared" si="0"/>
        <v>1980</v>
      </c>
      <c r="I17" s="294"/>
      <c r="J17" s="295">
        <v>1</v>
      </c>
      <c r="K17" s="333">
        <f t="shared" si="1"/>
        <v>0</v>
      </c>
      <c r="L17" s="985"/>
    </row>
    <row r="18" spans="1:12" s="296" customFormat="1" ht="24.95" customHeight="1">
      <c r="A18" s="297">
        <v>16</v>
      </c>
      <c r="B18" s="840"/>
      <c r="C18" s="290" t="s">
        <v>17</v>
      </c>
      <c r="D18" s="290" t="s">
        <v>4</v>
      </c>
      <c r="E18" s="291" t="s">
        <v>10</v>
      </c>
      <c r="F18" s="301">
        <v>38834</v>
      </c>
      <c r="G18" s="301">
        <v>39482</v>
      </c>
      <c r="H18" s="293">
        <f t="shared" si="0"/>
        <v>649</v>
      </c>
      <c r="I18" s="294"/>
      <c r="J18" s="295">
        <v>1</v>
      </c>
      <c r="K18" s="333">
        <f t="shared" si="1"/>
        <v>0</v>
      </c>
      <c r="L18" s="985"/>
    </row>
    <row r="19" spans="1:12" s="298" customFormat="1" ht="24.95" customHeight="1" thickBot="1">
      <c r="A19" s="974" t="s">
        <v>5</v>
      </c>
      <c r="B19" s="975"/>
      <c r="C19" s="975"/>
      <c r="D19" s="975"/>
      <c r="E19" s="975"/>
      <c r="F19" s="975"/>
      <c r="G19" s="975"/>
      <c r="H19" s="975"/>
      <c r="I19" s="975"/>
      <c r="J19" s="975"/>
      <c r="K19" s="302">
        <f>ROUND((SUM(K5:K18))/365,2)</f>
        <v>0</v>
      </c>
      <c r="L19" s="303"/>
    </row>
    <row r="20" spans="1:12" s="306" customFormat="1" ht="20.100000000000001" customHeight="1">
      <c r="A20" s="304" t="s">
        <v>26</v>
      </c>
      <c r="B20" s="836" t="s">
        <v>641</v>
      </c>
      <c r="C20" s="836"/>
      <c r="D20" s="836"/>
      <c r="E20" s="836"/>
      <c r="F20" s="836"/>
      <c r="G20" s="836"/>
      <c r="H20" s="836"/>
      <c r="I20" s="836"/>
      <c r="K20" s="305"/>
    </row>
    <row r="21" spans="1:12" s="310" customFormat="1" ht="20.100000000000001" customHeight="1">
      <c r="A21" s="307">
        <v>1</v>
      </c>
      <c r="B21" s="308" t="s">
        <v>28</v>
      </c>
      <c r="C21" s="308"/>
      <c r="D21" s="308"/>
      <c r="E21" s="308"/>
      <c r="F21" s="308"/>
      <c r="G21" s="308"/>
      <c r="H21" s="308"/>
      <c r="I21" s="309"/>
    </row>
    <row r="22" spans="1:12" s="312" customFormat="1" ht="20.100000000000001" customHeight="1">
      <c r="A22" s="307">
        <v>2</v>
      </c>
      <c r="B22" s="308" t="s">
        <v>30</v>
      </c>
      <c r="C22" s="308"/>
      <c r="D22" s="308"/>
      <c r="E22" s="311"/>
      <c r="F22" s="311"/>
      <c r="G22" s="311"/>
      <c r="H22" s="311"/>
      <c r="I22" s="837"/>
    </row>
    <row r="23" spans="1:12" s="312" customFormat="1" ht="20.100000000000001" customHeight="1">
      <c r="A23" s="307">
        <v>3</v>
      </c>
      <c r="B23" s="837" t="s">
        <v>392</v>
      </c>
      <c r="C23" s="308"/>
      <c r="D23" s="308"/>
      <c r="E23" s="311"/>
      <c r="F23" s="311"/>
      <c r="G23" s="311"/>
      <c r="H23" s="311"/>
      <c r="I23" s="837"/>
    </row>
    <row r="24" spans="1:12" s="312" customFormat="1" ht="20.100000000000001" customHeight="1">
      <c r="A24" s="307">
        <v>4</v>
      </c>
      <c r="B24" s="308" t="s">
        <v>393</v>
      </c>
      <c r="C24" s="308"/>
      <c r="D24" s="308"/>
      <c r="E24" s="311"/>
      <c r="F24" s="311"/>
      <c r="G24" s="311"/>
      <c r="H24" s="311"/>
      <c r="I24" s="837"/>
    </row>
    <row r="25" spans="1:12" s="310" customFormat="1" ht="20.100000000000001" customHeight="1">
      <c r="A25" s="307">
        <v>5</v>
      </c>
      <c r="B25" s="308" t="s">
        <v>635</v>
      </c>
      <c r="C25" s="308"/>
      <c r="D25" s="308"/>
      <c r="E25" s="308"/>
      <c r="F25" s="308"/>
      <c r="G25" s="308"/>
      <c r="H25" s="308"/>
      <c r="I25" s="309"/>
    </row>
    <row r="26" spans="1:12" s="310" customFormat="1" ht="20.100000000000001" customHeight="1">
      <c r="A26" s="307">
        <v>6</v>
      </c>
      <c r="B26" s="837" t="s">
        <v>642</v>
      </c>
      <c r="C26" s="837"/>
      <c r="D26" s="837"/>
      <c r="E26" s="837"/>
      <c r="F26" s="837"/>
      <c r="G26" s="837"/>
      <c r="H26" s="838"/>
      <c r="I26" s="309"/>
    </row>
    <row r="27" spans="1:12" s="310" customFormat="1" ht="20.100000000000001" customHeight="1">
      <c r="A27" s="307">
        <v>7</v>
      </c>
      <c r="B27" s="314" t="s">
        <v>485</v>
      </c>
      <c r="C27" s="314"/>
      <c r="D27" s="314"/>
      <c r="E27" s="308"/>
      <c r="F27" s="308"/>
      <c r="G27" s="308"/>
      <c r="H27" s="308"/>
      <c r="I27" s="309"/>
    </row>
    <row r="28" spans="1:12" s="310" customFormat="1" ht="15" customHeight="1">
      <c r="C28" s="314"/>
      <c r="D28" s="314"/>
      <c r="E28" s="314"/>
      <c r="F28" s="308"/>
      <c r="G28" s="308"/>
      <c r="H28" s="308"/>
      <c r="I28" s="308"/>
      <c r="J28" s="309"/>
    </row>
    <row r="29" spans="1:12" s="306" customFormat="1" ht="15" customHeight="1">
      <c r="A29" s="308"/>
      <c r="B29" s="308"/>
      <c r="C29" s="308"/>
      <c r="D29" s="308"/>
      <c r="E29" s="308"/>
      <c r="F29" s="315"/>
      <c r="G29" s="315"/>
      <c r="H29" s="315"/>
      <c r="I29" s="315"/>
      <c r="J29" s="316"/>
      <c r="K29" s="317"/>
    </row>
    <row r="30" spans="1:12" ht="15" customHeight="1">
      <c r="B30" s="323"/>
      <c r="C30" s="319"/>
      <c r="D30" s="319"/>
      <c r="E30" s="319"/>
      <c r="F30" s="320"/>
      <c r="G30" s="320"/>
      <c r="H30" s="319"/>
    </row>
    <row r="31" spans="1:12" ht="15" customHeight="1">
      <c r="D31" s="320"/>
      <c r="E31" s="320"/>
      <c r="F31" s="320"/>
      <c r="G31" s="320"/>
      <c r="H31" s="319"/>
    </row>
    <row r="32" spans="1:12" ht="15" customHeight="1">
      <c r="D32" s="320"/>
      <c r="E32" s="320"/>
      <c r="F32" s="320"/>
      <c r="G32" s="320"/>
      <c r="H32" s="319"/>
    </row>
    <row r="33" spans="4:8" ht="12" customHeight="1">
      <c r="D33" s="320"/>
      <c r="E33" s="320"/>
      <c r="F33" s="320"/>
      <c r="G33" s="320"/>
      <c r="H33" s="319"/>
    </row>
    <row r="34" spans="4:8" ht="12" customHeight="1">
      <c r="D34" s="320"/>
      <c r="E34" s="320"/>
      <c r="F34" s="320"/>
      <c r="G34" s="320"/>
      <c r="H34" s="319"/>
    </row>
    <row r="35" spans="4:8" ht="12" customHeight="1">
      <c r="D35" s="320"/>
      <c r="E35" s="320"/>
      <c r="F35" s="320"/>
      <c r="G35" s="320"/>
      <c r="H35" s="319"/>
    </row>
    <row r="36" spans="4:8" ht="12" customHeight="1">
      <c r="D36" s="320"/>
      <c r="E36" s="320"/>
      <c r="F36" s="320"/>
      <c r="G36" s="320"/>
      <c r="H36" s="319"/>
    </row>
    <row r="37" spans="4:8" ht="12" customHeight="1">
      <c r="D37" s="320"/>
      <c r="E37" s="320"/>
      <c r="F37" s="320"/>
      <c r="G37" s="320"/>
      <c r="H37" s="319"/>
    </row>
    <row r="38" spans="4:8" ht="12" customHeight="1">
      <c r="D38" s="320"/>
      <c r="E38" s="320"/>
      <c r="F38" s="320"/>
      <c r="G38" s="320"/>
      <c r="H38" s="319"/>
    </row>
    <row r="39" spans="4:8" ht="12" customHeight="1">
      <c r="D39" s="320"/>
      <c r="E39" s="320"/>
      <c r="F39" s="320"/>
      <c r="G39" s="320"/>
      <c r="H39" s="319"/>
    </row>
    <row r="40" spans="4:8" ht="12" customHeight="1">
      <c r="D40" s="320"/>
      <c r="E40" s="320"/>
      <c r="F40" s="320"/>
      <c r="G40" s="320"/>
      <c r="H40" s="319"/>
    </row>
    <row r="41" spans="4:8" ht="12" customHeight="1">
      <c r="D41" s="320"/>
      <c r="E41" s="320"/>
      <c r="F41" s="320"/>
      <c r="G41" s="320"/>
      <c r="H41" s="319"/>
    </row>
    <row r="42" spans="4:8" ht="12" customHeight="1">
      <c r="D42" s="320"/>
      <c r="E42" s="320"/>
      <c r="F42" s="320"/>
      <c r="G42" s="320"/>
      <c r="H42" s="319"/>
    </row>
    <row r="43" spans="4:8" ht="12" customHeight="1">
      <c r="D43" s="320"/>
      <c r="E43" s="320"/>
      <c r="F43" s="320"/>
      <c r="G43" s="320"/>
      <c r="H43" s="319"/>
    </row>
    <row r="44" spans="4:8" ht="12" customHeight="1">
      <c r="D44" s="320"/>
      <c r="E44" s="320"/>
      <c r="F44" s="320"/>
      <c r="G44" s="320"/>
      <c r="H44" s="319"/>
    </row>
    <row r="45" spans="4:8" ht="12" customHeight="1">
      <c r="D45" s="320"/>
      <c r="E45" s="320"/>
      <c r="F45" s="320"/>
      <c r="G45" s="320"/>
      <c r="H45" s="319"/>
    </row>
    <row r="46" spans="4:8" ht="12" customHeight="1">
      <c r="D46" s="320"/>
      <c r="E46" s="320"/>
      <c r="F46" s="320"/>
      <c r="G46" s="320"/>
      <c r="H46" s="319"/>
    </row>
    <row r="47" spans="4:8" ht="12" customHeight="1">
      <c r="D47" s="320"/>
      <c r="E47" s="320"/>
      <c r="F47" s="320"/>
      <c r="G47" s="320"/>
      <c r="H47" s="319"/>
    </row>
    <row r="48" spans="4:8" ht="12" customHeight="1">
      <c r="D48" s="320"/>
      <c r="E48" s="320"/>
      <c r="F48" s="320"/>
      <c r="G48" s="320"/>
      <c r="H48" s="319"/>
    </row>
    <row r="49" spans="4:8" ht="12" customHeight="1">
      <c r="D49" s="320"/>
      <c r="E49" s="320"/>
      <c r="F49" s="320"/>
      <c r="G49" s="320"/>
      <c r="H49" s="319"/>
    </row>
    <row r="50" spans="4:8" ht="12" customHeight="1">
      <c r="D50" s="320"/>
      <c r="E50" s="320"/>
      <c r="F50" s="320"/>
      <c r="G50" s="320"/>
      <c r="H50" s="319"/>
    </row>
    <row r="51" spans="4:8" ht="12" customHeight="1">
      <c r="D51" s="320"/>
      <c r="E51" s="320"/>
      <c r="F51" s="320"/>
      <c r="G51" s="320"/>
      <c r="H51" s="319"/>
    </row>
    <row r="52" spans="4:8" ht="12" customHeight="1">
      <c r="D52" s="320"/>
      <c r="E52" s="320"/>
      <c r="F52" s="320"/>
      <c r="G52" s="320"/>
      <c r="H52" s="319"/>
    </row>
    <row r="53" spans="4:8" ht="12" customHeight="1">
      <c r="D53" s="320"/>
      <c r="E53" s="320"/>
      <c r="F53" s="320"/>
      <c r="G53" s="320"/>
      <c r="H53" s="319"/>
    </row>
    <row r="54" spans="4:8" ht="12" customHeight="1">
      <c r="D54" s="320"/>
      <c r="E54" s="320"/>
      <c r="F54" s="320"/>
      <c r="G54" s="320"/>
      <c r="H54" s="319"/>
    </row>
    <row r="55" spans="4:8" ht="12" customHeight="1">
      <c r="D55" s="320"/>
      <c r="E55" s="320"/>
      <c r="F55" s="320"/>
      <c r="G55" s="320"/>
      <c r="H55" s="319"/>
    </row>
    <row r="56" spans="4:8" ht="12" customHeight="1">
      <c r="D56" s="320"/>
      <c r="E56" s="320"/>
      <c r="F56" s="320"/>
      <c r="G56" s="320"/>
      <c r="H56" s="319"/>
    </row>
    <row r="57" spans="4:8" ht="12" customHeight="1">
      <c r="D57" s="320"/>
      <c r="E57" s="320"/>
      <c r="F57" s="320"/>
      <c r="G57" s="320"/>
      <c r="H57" s="319"/>
    </row>
    <row r="58" spans="4:8" ht="12" customHeight="1">
      <c r="D58" s="320"/>
      <c r="E58" s="320"/>
      <c r="F58" s="320"/>
      <c r="G58" s="320"/>
      <c r="H58" s="319"/>
    </row>
    <row r="59" spans="4:8" ht="12" customHeight="1">
      <c r="D59" s="320"/>
      <c r="E59" s="320"/>
      <c r="F59" s="320"/>
      <c r="G59" s="320"/>
      <c r="H59" s="319"/>
    </row>
    <row r="60" spans="4:8" ht="12" customHeight="1">
      <c r="D60" s="320"/>
      <c r="E60" s="320"/>
      <c r="F60" s="320"/>
      <c r="G60" s="320"/>
      <c r="H60" s="319"/>
    </row>
    <row r="61" spans="4:8" ht="12" customHeight="1">
      <c r="D61" s="320"/>
      <c r="E61" s="320"/>
      <c r="F61" s="320"/>
      <c r="G61" s="320"/>
      <c r="H61" s="319"/>
    </row>
    <row r="62" spans="4:8" ht="12" customHeight="1">
      <c r="D62" s="320"/>
      <c r="E62" s="320"/>
      <c r="F62" s="320"/>
      <c r="G62" s="320"/>
      <c r="H62" s="319"/>
    </row>
    <row r="63" spans="4:8" ht="12" customHeight="1">
      <c r="D63" s="320"/>
      <c r="E63" s="320"/>
      <c r="F63" s="320"/>
      <c r="G63" s="320"/>
      <c r="H63" s="319"/>
    </row>
    <row r="64" spans="4:8" ht="12" customHeight="1">
      <c r="D64" s="320"/>
      <c r="E64" s="320"/>
      <c r="F64" s="320"/>
      <c r="G64" s="320"/>
      <c r="H64" s="319"/>
    </row>
    <row r="65" spans="4:8" ht="12" customHeight="1">
      <c r="D65" s="320"/>
      <c r="E65" s="320"/>
      <c r="F65" s="320"/>
      <c r="G65" s="320"/>
      <c r="H65" s="319"/>
    </row>
    <row r="66" spans="4:8" ht="12" customHeight="1">
      <c r="D66" s="320"/>
      <c r="E66" s="320"/>
      <c r="F66" s="320"/>
      <c r="G66" s="320"/>
      <c r="H66" s="319"/>
    </row>
    <row r="67" spans="4:8" ht="12" customHeight="1">
      <c r="D67" s="320"/>
      <c r="E67" s="320"/>
      <c r="F67" s="320"/>
      <c r="G67" s="320"/>
      <c r="H67" s="319"/>
    </row>
    <row r="68" spans="4:8" ht="12" customHeight="1">
      <c r="D68" s="320"/>
      <c r="E68" s="320"/>
      <c r="F68" s="320"/>
      <c r="G68" s="320"/>
      <c r="H68" s="319"/>
    </row>
    <row r="69" spans="4:8" ht="12" customHeight="1">
      <c r="D69" s="320"/>
      <c r="E69" s="320"/>
      <c r="F69" s="320"/>
      <c r="G69" s="320"/>
      <c r="H69" s="319"/>
    </row>
    <row r="70" spans="4:8" ht="12" customHeight="1">
      <c r="D70" s="320"/>
      <c r="E70" s="320"/>
      <c r="F70" s="320"/>
      <c r="G70" s="320"/>
      <c r="H70" s="319"/>
    </row>
    <row r="71" spans="4:8" ht="12" customHeight="1">
      <c r="D71" s="320"/>
      <c r="E71" s="320"/>
      <c r="F71" s="320"/>
      <c r="G71" s="320"/>
      <c r="H71" s="319"/>
    </row>
    <row r="72" spans="4:8" ht="12" customHeight="1">
      <c r="D72" s="320"/>
      <c r="E72" s="320"/>
      <c r="F72" s="320"/>
      <c r="G72" s="320"/>
      <c r="H72" s="319"/>
    </row>
    <row r="73" spans="4:8" ht="12" customHeight="1">
      <c r="D73" s="320"/>
      <c r="E73" s="320"/>
      <c r="F73" s="320"/>
      <c r="G73" s="320"/>
      <c r="H73" s="319"/>
    </row>
    <row r="74" spans="4:8" ht="12" customHeight="1">
      <c r="D74" s="320"/>
      <c r="E74" s="320"/>
      <c r="F74" s="320"/>
      <c r="G74" s="320"/>
      <c r="H74" s="319"/>
    </row>
    <row r="75" spans="4:8" ht="12" customHeight="1">
      <c r="D75" s="320"/>
      <c r="E75" s="320"/>
      <c r="F75" s="320"/>
      <c r="G75" s="320"/>
      <c r="H75" s="319"/>
    </row>
    <row r="76" spans="4:8" ht="12" customHeight="1">
      <c r="D76" s="320"/>
      <c r="E76" s="320"/>
      <c r="F76" s="320"/>
      <c r="G76" s="320"/>
      <c r="H76" s="319"/>
    </row>
    <row r="77" spans="4:8" ht="12" customHeight="1">
      <c r="D77" s="320"/>
      <c r="E77" s="320"/>
      <c r="F77" s="320"/>
      <c r="G77" s="320"/>
      <c r="H77" s="319"/>
    </row>
    <row r="78" spans="4:8" ht="12" customHeight="1">
      <c r="D78" s="320"/>
      <c r="E78" s="320"/>
      <c r="F78" s="320"/>
      <c r="G78" s="320"/>
      <c r="H78" s="319"/>
    </row>
    <row r="79" spans="4:8" ht="12" customHeight="1">
      <c r="D79" s="320"/>
      <c r="E79" s="320"/>
      <c r="F79" s="320"/>
      <c r="G79" s="320"/>
      <c r="H79" s="319"/>
    </row>
    <row r="80" spans="4:8" ht="12" customHeight="1">
      <c r="D80" s="320"/>
      <c r="E80" s="320"/>
      <c r="F80" s="320"/>
      <c r="G80" s="320"/>
      <c r="H80" s="319"/>
    </row>
    <row r="81" spans="4:8" ht="12" customHeight="1">
      <c r="D81" s="320"/>
      <c r="E81" s="320"/>
      <c r="F81" s="320"/>
      <c r="G81" s="320"/>
      <c r="H81" s="319"/>
    </row>
    <row r="82" spans="4:8" ht="12" customHeight="1">
      <c r="D82" s="320"/>
      <c r="E82" s="320"/>
      <c r="F82" s="320"/>
      <c r="G82" s="320"/>
      <c r="H82" s="319"/>
    </row>
    <row r="83" spans="4:8" ht="12" customHeight="1">
      <c r="D83" s="320"/>
      <c r="E83" s="320"/>
      <c r="F83" s="320"/>
      <c r="G83" s="320"/>
      <c r="H83" s="319"/>
    </row>
    <row r="84" spans="4:8" ht="12" customHeight="1">
      <c r="D84" s="320"/>
      <c r="E84" s="320"/>
      <c r="F84" s="320"/>
      <c r="G84" s="320"/>
      <c r="H84" s="319"/>
    </row>
    <row r="85" spans="4:8" ht="12" customHeight="1">
      <c r="D85" s="320"/>
      <c r="E85" s="320"/>
      <c r="F85" s="320"/>
      <c r="G85" s="320"/>
      <c r="H85" s="319"/>
    </row>
    <row r="86" spans="4:8" ht="12" customHeight="1">
      <c r="D86" s="320"/>
      <c r="E86" s="320"/>
      <c r="F86" s="320"/>
      <c r="G86" s="320"/>
      <c r="H86" s="319"/>
    </row>
    <row r="87" spans="4:8" ht="12" customHeight="1">
      <c r="D87" s="320"/>
      <c r="E87" s="320"/>
      <c r="F87" s="320"/>
      <c r="G87" s="320"/>
      <c r="H87" s="319"/>
    </row>
    <row r="88" spans="4:8" ht="12" customHeight="1">
      <c r="D88" s="320"/>
      <c r="E88" s="320"/>
      <c r="F88" s="320"/>
      <c r="G88" s="320"/>
      <c r="H88" s="319"/>
    </row>
    <row r="89" spans="4:8" ht="12" customHeight="1">
      <c r="D89" s="320"/>
      <c r="E89" s="320"/>
      <c r="F89" s="320"/>
      <c r="G89" s="320"/>
      <c r="H89" s="319"/>
    </row>
    <row r="90" spans="4:8" ht="12" customHeight="1">
      <c r="D90" s="320"/>
      <c r="E90" s="320"/>
      <c r="F90" s="320"/>
      <c r="G90" s="320"/>
      <c r="H90" s="319"/>
    </row>
    <row r="91" spans="4:8" ht="12" customHeight="1">
      <c r="D91" s="320"/>
      <c r="E91" s="320"/>
      <c r="F91" s="320"/>
      <c r="G91" s="320"/>
      <c r="H91" s="319"/>
    </row>
    <row r="92" spans="4:8" ht="12" customHeight="1">
      <c r="D92" s="320"/>
      <c r="E92" s="320"/>
      <c r="F92" s="320"/>
      <c r="G92" s="320"/>
      <c r="H92" s="319"/>
    </row>
    <row r="93" spans="4:8" ht="12" customHeight="1">
      <c r="D93" s="320"/>
      <c r="E93" s="320"/>
      <c r="F93" s="320"/>
      <c r="G93" s="320"/>
      <c r="H93" s="319"/>
    </row>
    <row r="94" spans="4:8" ht="12" customHeight="1">
      <c r="D94" s="320"/>
      <c r="E94" s="320"/>
      <c r="F94" s="320"/>
      <c r="G94" s="320"/>
      <c r="H94" s="319"/>
    </row>
    <row r="95" spans="4:8" ht="12" customHeight="1">
      <c r="D95" s="320"/>
      <c r="E95" s="320"/>
      <c r="F95" s="320"/>
      <c r="G95" s="320"/>
      <c r="H95" s="319"/>
    </row>
    <row r="96" spans="4:8" ht="12" customHeight="1">
      <c r="D96" s="320"/>
      <c r="E96" s="320"/>
      <c r="F96" s="320"/>
      <c r="G96" s="320"/>
      <c r="H96" s="319"/>
    </row>
    <row r="97" spans="4:8" ht="12" customHeight="1">
      <c r="D97" s="320"/>
      <c r="E97" s="320"/>
      <c r="F97" s="320"/>
      <c r="G97" s="320"/>
      <c r="H97" s="319"/>
    </row>
    <row r="98" spans="4:8" ht="12" customHeight="1">
      <c r="D98" s="320"/>
      <c r="E98" s="320"/>
      <c r="F98" s="320"/>
      <c r="G98" s="320"/>
      <c r="H98" s="319"/>
    </row>
    <row r="99" spans="4:8" ht="12" customHeight="1">
      <c r="D99" s="320"/>
      <c r="E99" s="320"/>
      <c r="F99" s="320"/>
      <c r="G99" s="320"/>
      <c r="H99" s="319"/>
    </row>
    <row r="100" spans="4:8" ht="12" customHeight="1">
      <c r="D100" s="320"/>
      <c r="E100" s="320"/>
      <c r="F100" s="320"/>
      <c r="G100" s="320"/>
      <c r="H100" s="319"/>
    </row>
    <row r="101" spans="4:8" ht="12" customHeight="1">
      <c r="D101" s="320"/>
      <c r="E101" s="320"/>
      <c r="F101" s="320"/>
      <c r="G101" s="320"/>
      <c r="H101" s="319"/>
    </row>
    <row r="102" spans="4:8" ht="12" customHeight="1">
      <c r="D102" s="320"/>
      <c r="E102" s="320"/>
      <c r="F102" s="320"/>
      <c r="G102" s="320"/>
      <c r="H102" s="319"/>
    </row>
    <row r="103" spans="4:8" ht="12" customHeight="1">
      <c r="D103" s="320"/>
      <c r="E103" s="320"/>
      <c r="F103" s="320"/>
      <c r="G103" s="320"/>
      <c r="H103" s="319"/>
    </row>
    <row r="104" spans="4:8" ht="12" customHeight="1">
      <c r="D104" s="320"/>
      <c r="E104" s="320"/>
      <c r="F104" s="320"/>
      <c r="G104" s="320"/>
      <c r="H104" s="319"/>
    </row>
    <row r="105" spans="4:8" ht="12" customHeight="1">
      <c r="D105" s="320"/>
      <c r="E105" s="320"/>
      <c r="F105" s="320"/>
      <c r="G105" s="320"/>
      <c r="H105" s="319"/>
    </row>
    <row r="106" spans="4:8" ht="12" customHeight="1">
      <c r="D106" s="320"/>
      <c r="E106" s="320"/>
      <c r="F106" s="320"/>
      <c r="G106" s="320"/>
      <c r="H106" s="319"/>
    </row>
    <row r="107" spans="4:8" ht="12" customHeight="1">
      <c r="D107" s="320"/>
      <c r="E107" s="320"/>
      <c r="F107" s="320"/>
      <c r="G107" s="320"/>
      <c r="H107" s="319"/>
    </row>
    <row r="108" spans="4:8" ht="12" customHeight="1">
      <c r="D108" s="320"/>
      <c r="E108" s="320"/>
      <c r="F108" s="320"/>
      <c r="G108" s="320"/>
      <c r="H108" s="319"/>
    </row>
    <row r="109" spans="4:8" ht="12" customHeight="1">
      <c r="D109" s="320"/>
      <c r="E109" s="320"/>
      <c r="F109" s="320"/>
      <c r="G109" s="320"/>
      <c r="H109" s="319"/>
    </row>
    <row r="110" spans="4:8" ht="12" customHeight="1">
      <c r="D110" s="320"/>
      <c r="E110" s="320"/>
      <c r="F110" s="320"/>
      <c r="G110" s="320"/>
      <c r="H110" s="319"/>
    </row>
    <row r="111" spans="4:8" ht="12" customHeight="1">
      <c r="D111" s="320"/>
      <c r="E111" s="320"/>
      <c r="F111" s="320"/>
      <c r="G111" s="320"/>
      <c r="H111" s="319"/>
    </row>
    <row r="112" spans="4:8" ht="12" customHeight="1">
      <c r="D112" s="320"/>
      <c r="E112" s="320"/>
      <c r="F112" s="320"/>
      <c r="G112" s="320"/>
      <c r="H112" s="319"/>
    </row>
    <row r="113" spans="4:8" ht="12" customHeight="1">
      <c r="D113" s="320"/>
      <c r="E113" s="320"/>
      <c r="F113" s="320"/>
      <c r="G113" s="320"/>
      <c r="H113" s="319"/>
    </row>
    <row r="114" spans="4:8" ht="12" customHeight="1">
      <c r="D114" s="320"/>
      <c r="E114" s="320"/>
      <c r="F114" s="320"/>
      <c r="G114" s="320"/>
      <c r="H114" s="319"/>
    </row>
    <row r="115" spans="4:8" ht="12" customHeight="1">
      <c r="D115" s="320"/>
      <c r="E115" s="320"/>
      <c r="F115" s="320"/>
      <c r="G115" s="320"/>
      <c r="H115" s="319"/>
    </row>
    <row r="116" spans="4:8" ht="12" customHeight="1">
      <c r="D116" s="320"/>
      <c r="E116" s="320"/>
      <c r="F116" s="320"/>
      <c r="G116" s="320"/>
      <c r="H116" s="319"/>
    </row>
    <row r="117" spans="4:8" ht="12" customHeight="1">
      <c r="D117" s="320"/>
      <c r="E117" s="320"/>
      <c r="F117" s="320"/>
      <c r="G117" s="320"/>
      <c r="H117" s="319"/>
    </row>
    <row r="118" spans="4:8" ht="12" customHeight="1">
      <c r="D118" s="320"/>
      <c r="E118" s="320"/>
      <c r="F118" s="320"/>
      <c r="G118" s="320"/>
      <c r="H118" s="319"/>
    </row>
    <row r="119" spans="4:8" ht="12" customHeight="1">
      <c r="D119" s="320"/>
      <c r="E119" s="320"/>
      <c r="F119" s="320"/>
      <c r="G119" s="320"/>
      <c r="H119" s="319"/>
    </row>
    <row r="120" spans="4:8" ht="12" customHeight="1">
      <c r="D120" s="320"/>
      <c r="E120" s="320"/>
      <c r="F120" s="320"/>
      <c r="G120" s="320"/>
      <c r="H120" s="319"/>
    </row>
    <row r="121" spans="4:8" ht="12" customHeight="1">
      <c r="D121" s="320"/>
      <c r="E121" s="320"/>
      <c r="F121" s="320"/>
      <c r="G121" s="320"/>
      <c r="H121" s="319"/>
    </row>
    <row r="122" spans="4:8" ht="12" customHeight="1">
      <c r="D122" s="320"/>
      <c r="E122" s="320"/>
      <c r="F122" s="320"/>
      <c r="G122" s="320"/>
      <c r="H122" s="319"/>
    </row>
    <row r="123" spans="4:8" ht="12" customHeight="1">
      <c r="D123" s="320"/>
      <c r="E123" s="320"/>
      <c r="F123" s="320"/>
      <c r="G123" s="320"/>
      <c r="H123" s="319"/>
    </row>
    <row r="124" spans="4:8" ht="12" customHeight="1">
      <c r="D124" s="320"/>
      <c r="E124" s="320"/>
      <c r="F124" s="320"/>
      <c r="G124" s="320"/>
      <c r="H124" s="319"/>
    </row>
    <row r="125" spans="4:8" ht="12" customHeight="1">
      <c r="D125" s="320"/>
      <c r="E125" s="320"/>
      <c r="F125" s="320"/>
      <c r="G125" s="320"/>
      <c r="H125" s="319"/>
    </row>
    <row r="126" spans="4:8" ht="12" customHeight="1">
      <c r="D126" s="320"/>
      <c r="E126" s="320"/>
      <c r="F126" s="320"/>
      <c r="G126" s="320"/>
      <c r="H126" s="319"/>
    </row>
    <row r="127" spans="4:8" ht="12" customHeight="1">
      <c r="D127" s="320"/>
      <c r="E127" s="320"/>
      <c r="F127" s="320"/>
      <c r="G127" s="320"/>
      <c r="H127" s="319"/>
    </row>
    <row r="128" spans="4:8" ht="12" customHeight="1">
      <c r="D128" s="320"/>
      <c r="E128" s="320"/>
      <c r="F128" s="320"/>
      <c r="G128" s="320"/>
      <c r="H128" s="319"/>
    </row>
    <row r="129" spans="4:8" ht="12" customHeight="1">
      <c r="D129" s="320"/>
      <c r="E129" s="320"/>
      <c r="F129" s="320"/>
      <c r="G129" s="320"/>
      <c r="H129" s="319"/>
    </row>
    <row r="130" spans="4:8" ht="12" customHeight="1">
      <c r="D130" s="320"/>
      <c r="E130" s="320"/>
      <c r="F130" s="320"/>
      <c r="G130" s="320"/>
      <c r="H130" s="319"/>
    </row>
    <row r="131" spans="4:8" ht="12" customHeight="1">
      <c r="D131" s="320"/>
      <c r="E131" s="320"/>
      <c r="F131" s="320"/>
      <c r="G131" s="320"/>
      <c r="H131" s="319"/>
    </row>
    <row r="132" spans="4:8" ht="12" customHeight="1">
      <c r="D132" s="320"/>
      <c r="E132" s="320"/>
      <c r="F132" s="320"/>
      <c r="G132" s="320"/>
      <c r="H132" s="319"/>
    </row>
  </sheetData>
  <mergeCells count="12">
    <mergeCell ref="A1:C1"/>
    <mergeCell ref="A3:A4"/>
    <mergeCell ref="C3:C4"/>
    <mergeCell ref="D3:D4"/>
    <mergeCell ref="E3:E4"/>
    <mergeCell ref="A19:J19"/>
    <mergeCell ref="I3:I4"/>
    <mergeCell ref="K3:K4"/>
    <mergeCell ref="B3:B4"/>
    <mergeCell ref="L3:L4"/>
    <mergeCell ref="L5:L18"/>
    <mergeCell ref="F3:H3"/>
  </mergeCells>
  <phoneticPr fontId="2" type="noConversion"/>
  <dataValidations disablePrompts="1" count="1">
    <dataValidation type="list" allowBlank="1" showInputMessage="1" showErrorMessage="1" sqref="J5:J18">
      <formula1>$T$7:$T$8</formula1>
    </dataValidation>
  </dataValidations>
  <pageMargins left="0.74803149606299213" right="0.74803149606299213" top="0.78740157480314965" bottom="0.78740157480314965" header="0.51181102362204722" footer="0.51181102362204722"/>
  <pageSetup paperSize="9" scale="83" fitToHeight="3" orientation="landscape" r:id="rId1"/>
  <headerFooter alignWithMargins="0"/>
  <legacy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43"/>
  </sheetPr>
  <dimension ref="A1:S225"/>
  <sheetViews>
    <sheetView view="pageBreakPreview" topLeftCell="A93" zoomScaleNormal="85" zoomScaleSheetLayoutView="100" workbookViewId="0">
      <pane xSplit="3" topLeftCell="D1" activePane="topRight" state="frozen"/>
      <selection activeCell="I42" sqref="I42"/>
      <selection pane="topRight" activeCell="J107" sqref="J107:J120"/>
    </sheetView>
  </sheetViews>
  <sheetFormatPr defaultRowHeight="12" customHeight="1"/>
  <cols>
    <col min="1" max="1" width="3.77734375" style="318" customWidth="1"/>
    <col min="2" max="2" width="31.21875" style="324" customWidth="1"/>
    <col min="3" max="3" width="26.77734375" style="324" customWidth="1"/>
    <col min="4" max="4" width="10.21875" style="324" customWidth="1"/>
    <col min="5" max="6" width="10.33203125" style="324" bestFit="1" customWidth="1"/>
    <col min="7" max="7" width="6.5546875" style="325" customWidth="1"/>
    <col min="8" max="8" width="8.33203125" style="319" customWidth="1"/>
    <col min="9" max="9" width="8.77734375" style="321" customWidth="1"/>
    <col min="10" max="10" width="8.33203125" style="322" customWidth="1"/>
    <col min="11" max="11" width="5.33203125" style="323" customWidth="1"/>
    <col min="12" max="16384" width="8.88671875" style="323"/>
  </cols>
  <sheetData>
    <row r="1" spans="1:19" ht="26.25" customHeight="1">
      <c r="A1" s="323"/>
      <c r="B1" s="326" t="s">
        <v>291</v>
      </c>
      <c r="C1" s="319"/>
      <c r="D1" s="319"/>
      <c r="E1" s="319"/>
      <c r="F1" s="319"/>
      <c r="G1" s="319"/>
    </row>
    <row r="2" spans="1:19" ht="26.25" customHeight="1">
      <c r="A2" s="323"/>
      <c r="B2" s="319"/>
      <c r="C2" s="319"/>
      <c r="D2" s="319"/>
      <c r="E2" s="319"/>
      <c r="F2" s="319"/>
      <c r="G2" s="319"/>
    </row>
    <row r="3" spans="1:19" s="279" customFormat="1" ht="23.25" customHeight="1">
      <c r="A3" s="995" t="str">
        <f>배점기준!C3</f>
        <v>대기관리</v>
      </c>
      <c r="B3" s="996"/>
      <c r="C3" s="327" t="s">
        <v>225</v>
      </c>
      <c r="D3" s="997" t="s">
        <v>2</v>
      </c>
      <c r="E3" s="998"/>
      <c r="F3" s="275"/>
      <c r="G3" s="275"/>
      <c r="H3" s="275"/>
      <c r="I3" s="276"/>
      <c r="J3" s="277"/>
      <c r="K3" s="278"/>
    </row>
    <row r="4" spans="1:19" s="284" customFormat="1" ht="9" customHeight="1" thickBot="1">
      <c r="A4" s="280"/>
      <c r="B4" s="281"/>
      <c r="C4" s="280"/>
      <c r="D4" s="280"/>
      <c r="E4" s="280"/>
      <c r="F4" s="280"/>
      <c r="G4" s="280"/>
      <c r="H4" s="280"/>
      <c r="I4" s="282"/>
      <c r="J4" s="283"/>
    </row>
    <row r="5" spans="1:19" s="286" customFormat="1" ht="24.95" customHeight="1">
      <c r="A5" s="987" t="s">
        <v>6</v>
      </c>
      <c r="B5" s="989" t="s">
        <v>7</v>
      </c>
      <c r="C5" s="980" t="s">
        <v>8</v>
      </c>
      <c r="D5" s="980" t="s">
        <v>253</v>
      </c>
      <c r="E5" s="991" t="s">
        <v>384</v>
      </c>
      <c r="F5" s="992"/>
      <c r="G5" s="992"/>
      <c r="H5" s="976" t="s">
        <v>482</v>
      </c>
      <c r="I5" s="285" t="s">
        <v>483</v>
      </c>
      <c r="J5" s="978" t="s">
        <v>386</v>
      </c>
      <c r="K5" s="982" t="s">
        <v>9</v>
      </c>
    </row>
    <row r="6" spans="1:19" s="286" customFormat="1" ht="24.95" customHeight="1">
      <c r="A6" s="988"/>
      <c r="B6" s="990"/>
      <c r="C6" s="981"/>
      <c r="D6" s="981"/>
      <c r="E6" s="287" t="s">
        <v>387</v>
      </c>
      <c r="F6" s="287" t="s">
        <v>388</v>
      </c>
      <c r="G6" s="288" t="s">
        <v>179</v>
      </c>
      <c r="H6" s="977"/>
      <c r="I6" s="143" t="s">
        <v>215</v>
      </c>
      <c r="J6" s="979"/>
      <c r="K6" s="983"/>
    </row>
    <row r="7" spans="1:19" s="296" customFormat="1" ht="24.95" customHeight="1">
      <c r="A7" s="289">
        <v>1</v>
      </c>
      <c r="B7" s="290" t="s">
        <v>172</v>
      </c>
      <c r="C7" s="290" t="s">
        <v>4</v>
      </c>
      <c r="D7" s="291" t="s">
        <v>10</v>
      </c>
      <c r="E7" s="292">
        <v>34645</v>
      </c>
      <c r="F7" s="292">
        <v>36522</v>
      </c>
      <c r="G7" s="293">
        <f>F7-E7+1</f>
        <v>1878</v>
      </c>
      <c r="H7" s="294"/>
      <c r="I7" s="295">
        <v>1</v>
      </c>
      <c r="J7" s="333">
        <f>ROUND(H7*I7,0)</f>
        <v>0</v>
      </c>
      <c r="K7" s="984"/>
    </row>
    <row r="8" spans="1:19" s="298" customFormat="1" ht="24.95" customHeight="1">
      <c r="A8" s="297">
        <v>2</v>
      </c>
      <c r="B8" s="290" t="s">
        <v>173</v>
      </c>
      <c r="C8" s="290" t="s">
        <v>4</v>
      </c>
      <c r="D8" s="291" t="s">
        <v>10</v>
      </c>
      <c r="E8" s="292">
        <v>34692</v>
      </c>
      <c r="F8" s="292">
        <v>37063</v>
      </c>
      <c r="G8" s="293">
        <f t="shared" ref="G8:G20" si="0">F8-E8+1</f>
        <v>2372</v>
      </c>
      <c r="H8" s="294">
        <v>0</v>
      </c>
      <c r="I8" s="295">
        <v>0.6</v>
      </c>
      <c r="J8" s="333">
        <f>ROUND(H8*I8,0)</f>
        <v>0</v>
      </c>
      <c r="K8" s="985"/>
      <c r="S8" s="299" t="s">
        <v>251</v>
      </c>
    </row>
    <row r="9" spans="1:19" s="298" customFormat="1" ht="24.95" customHeight="1">
      <c r="A9" s="297">
        <v>3</v>
      </c>
      <c r="B9" s="290" t="s">
        <v>174</v>
      </c>
      <c r="C9" s="290" t="s">
        <v>4</v>
      </c>
      <c r="D9" s="291" t="s">
        <v>10</v>
      </c>
      <c r="E9" s="292">
        <v>34967</v>
      </c>
      <c r="F9" s="292">
        <v>36871</v>
      </c>
      <c r="G9" s="293">
        <f t="shared" si="0"/>
        <v>1905</v>
      </c>
      <c r="H9" s="294"/>
      <c r="I9" s="295">
        <v>1</v>
      </c>
      <c r="J9" s="333">
        <f t="shared" ref="J9:J20" si="1">ROUND(H9*I9,0)</f>
        <v>0</v>
      </c>
      <c r="K9" s="985"/>
      <c r="S9" s="300">
        <v>1</v>
      </c>
    </row>
    <row r="10" spans="1:19" s="298" customFormat="1" ht="24.95" customHeight="1">
      <c r="A10" s="297">
        <v>4</v>
      </c>
      <c r="B10" s="290" t="s">
        <v>175</v>
      </c>
      <c r="C10" s="290" t="s">
        <v>4</v>
      </c>
      <c r="D10" s="291" t="s">
        <v>10</v>
      </c>
      <c r="E10" s="292">
        <v>36194</v>
      </c>
      <c r="F10" s="292">
        <v>37008</v>
      </c>
      <c r="G10" s="293">
        <f t="shared" si="0"/>
        <v>815</v>
      </c>
      <c r="H10" s="294"/>
      <c r="I10" s="295">
        <v>0.6</v>
      </c>
      <c r="J10" s="333">
        <f t="shared" si="1"/>
        <v>0</v>
      </c>
      <c r="K10" s="985"/>
      <c r="S10" s="300">
        <v>0.6</v>
      </c>
    </row>
    <row r="11" spans="1:19" s="298" customFormat="1" ht="24.95" customHeight="1">
      <c r="A11" s="297">
        <v>5</v>
      </c>
      <c r="B11" s="290" t="s">
        <v>11</v>
      </c>
      <c r="C11" s="290" t="s">
        <v>4</v>
      </c>
      <c r="D11" s="291" t="s">
        <v>10</v>
      </c>
      <c r="E11" s="292">
        <v>37369</v>
      </c>
      <c r="F11" s="292">
        <v>37954</v>
      </c>
      <c r="G11" s="293">
        <f t="shared" si="0"/>
        <v>586</v>
      </c>
      <c r="H11" s="294"/>
      <c r="I11" s="295">
        <v>1</v>
      </c>
      <c r="J11" s="333">
        <f t="shared" si="1"/>
        <v>0</v>
      </c>
      <c r="K11" s="985"/>
    </row>
    <row r="12" spans="1:19" s="296" customFormat="1" ht="24.95" customHeight="1">
      <c r="A12" s="297">
        <v>7</v>
      </c>
      <c r="B12" s="290" t="s">
        <v>176</v>
      </c>
      <c r="C12" s="290" t="s">
        <v>4</v>
      </c>
      <c r="D12" s="291" t="s">
        <v>10</v>
      </c>
      <c r="E12" s="292">
        <v>37673</v>
      </c>
      <c r="F12" s="292">
        <v>38929</v>
      </c>
      <c r="G12" s="293">
        <f t="shared" si="0"/>
        <v>1257</v>
      </c>
      <c r="H12" s="294"/>
      <c r="I12" s="295">
        <v>0.6</v>
      </c>
      <c r="J12" s="333">
        <f t="shared" si="1"/>
        <v>0</v>
      </c>
      <c r="K12" s="985"/>
    </row>
    <row r="13" spans="1:19" s="296" customFormat="1" ht="24.95" customHeight="1">
      <c r="A13" s="297">
        <v>8</v>
      </c>
      <c r="B13" s="290" t="s">
        <v>177</v>
      </c>
      <c r="C13" s="290" t="s">
        <v>4</v>
      </c>
      <c r="D13" s="291" t="s">
        <v>10</v>
      </c>
      <c r="E13" s="292">
        <v>38240</v>
      </c>
      <c r="F13" s="292">
        <v>39562</v>
      </c>
      <c r="G13" s="293">
        <f t="shared" si="0"/>
        <v>1323</v>
      </c>
      <c r="H13" s="294"/>
      <c r="I13" s="295">
        <v>1</v>
      </c>
      <c r="J13" s="333">
        <f t="shared" si="1"/>
        <v>0</v>
      </c>
      <c r="K13" s="985"/>
    </row>
    <row r="14" spans="1:19" s="296" customFormat="1" ht="24.95" customHeight="1">
      <c r="A14" s="297">
        <v>9</v>
      </c>
      <c r="B14" s="290" t="s">
        <v>12</v>
      </c>
      <c r="C14" s="290" t="s">
        <v>4</v>
      </c>
      <c r="D14" s="291" t="s">
        <v>10</v>
      </c>
      <c r="E14" s="292">
        <v>38078</v>
      </c>
      <c r="F14" s="292">
        <v>38660</v>
      </c>
      <c r="G14" s="293">
        <f t="shared" si="0"/>
        <v>583</v>
      </c>
      <c r="H14" s="294"/>
      <c r="I14" s="295">
        <v>0.6</v>
      </c>
      <c r="J14" s="333">
        <f t="shared" si="1"/>
        <v>0</v>
      </c>
      <c r="K14" s="985"/>
    </row>
    <row r="15" spans="1:19" s="296" customFormat="1" ht="24.95" customHeight="1">
      <c r="A15" s="297">
        <v>10</v>
      </c>
      <c r="B15" s="290" t="s">
        <v>13</v>
      </c>
      <c r="C15" s="290" t="s">
        <v>4</v>
      </c>
      <c r="D15" s="291" t="s">
        <v>10</v>
      </c>
      <c r="E15" s="301">
        <v>38127</v>
      </c>
      <c r="F15" s="301">
        <v>38717</v>
      </c>
      <c r="G15" s="293">
        <f t="shared" si="0"/>
        <v>591</v>
      </c>
      <c r="H15" s="294"/>
      <c r="I15" s="295">
        <v>1</v>
      </c>
      <c r="J15" s="333">
        <f t="shared" si="1"/>
        <v>0</v>
      </c>
      <c r="K15" s="985"/>
    </row>
    <row r="16" spans="1:19" s="296" customFormat="1" ht="24.95" customHeight="1">
      <c r="A16" s="297">
        <v>11</v>
      </c>
      <c r="B16" s="290" t="s">
        <v>14</v>
      </c>
      <c r="C16" s="290" t="s">
        <v>4</v>
      </c>
      <c r="D16" s="291" t="s">
        <v>10</v>
      </c>
      <c r="E16" s="301">
        <v>38098</v>
      </c>
      <c r="F16" s="292">
        <v>38717</v>
      </c>
      <c r="G16" s="293">
        <f t="shared" si="0"/>
        <v>620</v>
      </c>
      <c r="H16" s="294"/>
      <c r="I16" s="295">
        <v>0.6</v>
      </c>
      <c r="J16" s="333">
        <f t="shared" si="1"/>
        <v>0</v>
      </c>
      <c r="K16" s="985"/>
    </row>
    <row r="17" spans="1:19" s="296" customFormat="1" ht="24.95" customHeight="1">
      <c r="A17" s="297">
        <v>12</v>
      </c>
      <c r="B17" s="290" t="s">
        <v>15</v>
      </c>
      <c r="C17" s="290" t="s">
        <v>4</v>
      </c>
      <c r="D17" s="291" t="s">
        <v>10</v>
      </c>
      <c r="E17" s="301">
        <v>37376</v>
      </c>
      <c r="F17" s="301">
        <v>38730</v>
      </c>
      <c r="G17" s="293">
        <f t="shared" si="0"/>
        <v>1355</v>
      </c>
      <c r="H17" s="294"/>
      <c r="I17" s="295">
        <v>1</v>
      </c>
      <c r="J17" s="333">
        <f t="shared" si="1"/>
        <v>0</v>
      </c>
      <c r="K17" s="985"/>
    </row>
    <row r="18" spans="1:19" s="296" customFormat="1" ht="24.95" customHeight="1">
      <c r="A18" s="297">
        <v>13</v>
      </c>
      <c r="B18" s="290" t="s">
        <v>16</v>
      </c>
      <c r="C18" s="290" t="s">
        <v>4</v>
      </c>
      <c r="D18" s="291" t="s">
        <v>10</v>
      </c>
      <c r="E18" s="301">
        <v>38750</v>
      </c>
      <c r="F18" s="292">
        <v>39082</v>
      </c>
      <c r="G18" s="293">
        <f t="shared" si="0"/>
        <v>333</v>
      </c>
      <c r="H18" s="294"/>
      <c r="I18" s="295">
        <v>0.6</v>
      </c>
      <c r="J18" s="333">
        <f t="shared" si="1"/>
        <v>0</v>
      </c>
      <c r="K18" s="985"/>
    </row>
    <row r="19" spans="1:19" s="296" customFormat="1" ht="24.95" customHeight="1">
      <c r="A19" s="297">
        <v>15</v>
      </c>
      <c r="B19" s="290" t="s">
        <v>178</v>
      </c>
      <c r="C19" s="290" t="s">
        <v>4</v>
      </c>
      <c r="D19" s="291" t="s">
        <v>10</v>
      </c>
      <c r="E19" s="301">
        <v>37435</v>
      </c>
      <c r="F19" s="292">
        <v>39414</v>
      </c>
      <c r="G19" s="293">
        <f t="shared" si="0"/>
        <v>1980</v>
      </c>
      <c r="H19" s="294"/>
      <c r="I19" s="295">
        <v>1</v>
      </c>
      <c r="J19" s="333">
        <f t="shared" si="1"/>
        <v>0</v>
      </c>
      <c r="K19" s="985"/>
    </row>
    <row r="20" spans="1:19" s="296" customFormat="1" ht="24.95" customHeight="1">
      <c r="A20" s="297">
        <v>16</v>
      </c>
      <c r="B20" s="290" t="s">
        <v>17</v>
      </c>
      <c r="C20" s="290" t="s">
        <v>4</v>
      </c>
      <c r="D20" s="291" t="s">
        <v>10</v>
      </c>
      <c r="E20" s="301">
        <v>38834</v>
      </c>
      <c r="F20" s="301">
        <v>39482</v>
      </c>
      <c r="G20" s="293">
        <f t="shared" si="0"/>
        <v>649</v>
      </c>
      <c r="H20" s="294"/>
      <c r="I20" s="295">
        <v>1</v>
      </c>
      <c r="J20" s="333">
        <f t="shared" si="1"/>
        <v>0</v>
      </c>
      <c r="K20" s="985"/>
    </row>
    <row r="21" spans="1:19" s="298" customFormat="1" ht="24.95" customHeight="1" thickBot="1">
      <c r="A21" s="993" t="s">
        <v>5</v>
      </c>
      <c r="B21" s="994"/>
      <c r="C21" s="994"/>
      <c r="D21" s="994"/>
      <c r="E21" s="994"/>
      <c r="F21" s="994"/>
      <c r="G21" s="994"/>
      <c r="H21" s="994"/>
      <c r="I21" s="994"/>
      <c r="J21" s="302">
        <f>ROUND((SUM(J7:J20))/365,2)</f>
        <v>0</v>
      </c>
      <c r="K21" s="303"/>
    </row>
    <row r="22" spans="1:19" s="298" customFormat="1" ht="24.95" customHeight="1">
      <c r="A22" s="328"/>
      <c r="B22" s="328"/>
      <c r="C22" s="328"/>
      <c r="D22" s="328"/>
      <c r="E22" s="328"/>
      <c r="F22" s="328"/>
      <c r="G22" s="328"/>
      <c r="H22" s="328"/>
      <c r="I22" s="328"/>
      <c r="J22" s="329"/>
    </row>
    <row r="23" spans="1:19" s="279" customFormat="1" ht="23.25" customHeight="1">
      <c r="A23" s="995" t="str">
        <f>배점기준!C4</f>
        <v>수질관리</v>
      </c>
      <c r="B23" s="996"/>
      <c r="C23" s="327" t="s">
        <v>225</v>
      </c>
      <c r="D23" s="997" t="s">
        <v>2</v>
      </c>
      <c r="E23" s="998"/>
      <c r="F23" s="275"/>
      <c r="G23" s="275"/>
      <c r="H23" s="275"/>
      <c r="I23" s="276"/>
      <c r="J23" s="277"/>
      <c r="K23" s="278"/>
    </row>
    <row r="24" spans="1:19" s="284" customFormat="1" ht="9" customHeight="1" thickBot="1">
      <c r="A24" s="280"/>
      <c r="B24" s="281"/>
      <c r="C24" s="280"/>
      <c r="D24" s="280"/>
      <c r="E24" s="280"/>
      <c r="F24" s="280"/>
      <c r="G24" s="280"/>
      <c r="H24" s="280"/>
      <c r="I24" s="282"/>
      <c r="J24" s="283"/>
    </row>
    <row r="25" spans="1:19" s="286" customFormat="1" ht="24.95" customHeight="1">
      <c r="A25" s="987" t="s">
        <v>6</v>
      </c>
      <c r="B25" s="989" t="s">
        <v>7</v>
      </c>
      <c r="C25" s="980" t="s">
        <v>8</v>
      </c>
      <c r="D25" s="980" t="s">
        <v>253</v>
      </c>
      <c r="E25" s="991" t="s">
        <v>384</v>
      </c>
      <c r="F25" s="992"/>
      <c r="G25" s="992"/>
      <c r="H25" s="976" t="s">
        <v>482</v>
      </c>
      <c r="I25" s="285" t="s">
        <v>483</v>
      </c>
      <c r="J25" s="978" t="s">
        <v>386</v>
      </c>
      <c r="K25" s="982" t="s">
        <v>9</v>
      </c>
    </row>
    <row r="26" spans="1:19" s="286" customFormat="1" ht="24.95" customHeight="1">
      <c r="A26" s="988"/>
      <c r="B26" s="990"/>
      <c r="C26" s="981"/>
      <c r="D26" s="981"/>
      <c r="E26" s="287" t="s">
        <v>387</v>
      </c>
      <c r="F26" s="287" t="s">
        <v>388</v>
      </c>
      <c r="G26" s="288" t="s">
        <v>179</v>
      </c>
      <c r="H26" s="977"/>
      <c r="I26" s="143" t="s">
        <v>215</v>
      </c>
      <c r="J26" s="979"/>
      <c r="K26" s="983"/>
    </row>
    <row r="27" spans="1:19" s="296" customFormat="1" ht="24.95" customHeight="1">
      <c r="A27" s="289">
        <v>1</v>
      </c>
      <c r="B27" s="290" t="s">
        <v>172</v>
      </c>
      <c r="C27" s="290" t="s">
        <v>4</v>
      </c>
      <c r="D27" s="291" t="s">
        <v>10</v>
      </c>
      <c r="E27" s="292">
        <v>34645</v>
      </c>
      <c r="F27" s="292">
        <v>36522</v>
      </c>
      <c r="G27" s="293">
        <f>F27-E27+1</f>
        <v>1878</v>
      </c>
      <c r="H27" s="294"/>
      <c r="I27" s="295">
        <v>1</v>
      </c>
      <c r="J27" s="333">
        <f>ROUND(H27*I27,0)</f>
        <v>0</v>
      </c>
      <c r="K27" s="984"/>
    </row>
    <row r="28" spans="1:19" s="298" customFormat="1" ht="24.95" customHeight="1">
      <c r="A28" s="297">
        <v>2</v>
      </c>
      <c r="B28" s="290" t="s">
        <v>173</v>
      </c>
      <c r="C28" s="290" t="s">
        <v>4</v>
      </c>
      <c r="D28" s="291" t="s">
        <v>10</v>
      </c>
      <c r="E28" s="292">
        <v>34692</v>
      </c>
      <c r="F28" s="292">
        <v>37063</v>
      </c>
      <c r="G28" s="293">
        <f t="shared" ref="G28:G40" si="2">F28-E28+1</f>
        <v>2372</v>
      </c>
      <c r="H28" s="294"/>
      <c r="I28" s="295">
        <v>0.6</v>
      </c>
      <c r="J28" s="333">
        <f t="shared" ref="J28:J40" si="3">ROUND(H28*I28,0)</f>
        <v>0</v>
      </c>
      <c r="K28" s="985"/>
      <c r="S28" s="299" t="s">
        <v>251</v>
      </c>
    </row>
    <row r="29" spans="1:19" s="298" customFormat="1" ht="24.95" customHeight="1">
      <c r="A29" s="297">
        <v>3</v>
      </c>
      <c r="B29" s="290" t="s">
        <v>174</v>
      </c>
      <c r="C29" s="290" t="s">
        <v>4</v>
      </c>
      <c r="D29" s="291" t="s">
        <v>10</v>
      </c>
      <c r="E29" s="292">
        <v>34967</v>
      </c>
      <c r="F29" s="292">
        <v>36871</v>
      </c>
      <c r="G29" s="293">
        <f t="shared" si="2"/>
        <v>1905</v>
      </c>
      <c r="H29" s="294"/>
      <c r="I29" s="295">
        <v>1</v>
      </c>
      <c r="J29" s="333">
        <f t="shared" si="3"/>
        <v>0</v>
      </c>
      <c r="K29" s="985"/>
      <c r="S29" s="300">
        <v>1</v>
      </c>
    </row>
    <row r="30" spans="1:19" s="298" customFormat="1" ht="24.95" customHeight="1">
      <c r="A30" s="297">
        <v>4</v>
      </c>
      <c r="B30" s="290" t="s">
        <v>175</v>
      </c>
      <c r="C30" s="290" t="s">
        <v>4</v>
      </c>
      <c r="D30" s="291" t="s">
        <v>10</v>
      </c>
      <c r="E30" s="292">
        <v>36194</v>
      </c>
      <c r="F30" s="292">
        <v>37008</v>
      </c>
      <c r="G30" s="293">
        <f t="shared" si="2"/>
        <v>815</v>
      </c>
      <c r="H30" s="294"/>
      <c r="I30" s="295">
        <v>0.6</v>
      </c>
      <c r="J30" s="333">
        <f t="shared" si="3"/>
        <v>0</v>
      </c>
      <c r="K30" s="985"/>
      <c r="S30" s="300">
        <v>0.6</v>
      </c>
    </row>
    <row r="31" spans="1:19" s="298" customFormat="1" ht="24.95" customHeight="1">
      <c r="A31" s="297">
        <v>5</v>
      </c>
      <c r="B31" s="290" t="s">
        <v>11</v>
      </c>
      <c r="C31" s="290" t="s">
        <v>4</v>
      </c>
      <c r="D31" s="291" t="s">
        <v>10</v>
      </c>
      <c r="E31" s="292">
        <v>37369</v>
      </c>
      <c r="F31" s="292">
        <v>37954</v>
      </c>
      <c r="G31" s="293">
        <f t="shared" si="2"/>
        <v>586</v>
      </c>
      <c r="H31" s="294"/>
      <c r="I31" s="295">
        <v>1</v>
      </c>
      <c r="J31" s="333">
        <f t="shared" si="3"/>
        <v>0</v>
      </c>
      <c r="K31" s="985"/>
    </row>
    <row r="32" spans="1:19" s="296" customFormat="1" ht="24.95" customHeight="1">
      <c r="A32" s="297">
        <v>7</v>
      </c>
      <c r="B32" s="290" t="s">
        <v>176</v>
      </c>
      <c r="C32" s="290" t="s">
        <v>4</v>
      </c>
      <c r="D32" s="291" t="s">
        <v>10</v>
      </c>
      <c r="E32" s="292">
        <v>37673</v>
      </c>
      <c r="F32" s="292">
        <v>38929</v>
      </c>
      <c r="G32" s="293">
        <f t="shared" si="2"/>
        <v>1257</v>
      </c>
      <c r="H32" s="294"/>
      <c r="I32" s="295">
        <v>0.6</v>
      </c>
      <c r="J32" s="333">
        <f t="shared" si="3"/>
        <v>0</v>
      </c>
      <c r="K32" s="985"/>
    </row>
    <row r="33" spans="1:19" s="296" customFormat="1" ht="24.95" customHeight="1">
      <c r="A33" s="297">
        <v>8</v>
      </c>
      <c r="B33" s="290" t="s">
        <v>177</v>
      </c>
      <c r="C33" s="290" t="s">
        <v>4</v>
      </c>
      <c r="D33" s="291" t="s">
        <v>10</v>
      </c>
      <c r="E33" s="292">
        <v>38240</v>
      </c>
      <c r="F33" s="292">
        <v>39562</v>
      </c>
      <c r="G33" s="293">
        <f t="shared" si="2"/>
        <v>1323</v>
      </c>
      <c r="H33" s="294"/>
      <c r="I33" s="295">
        <v>1</v>
      </c>
      <c r="J33" s="333">
        <f t="shared" si="3"/>
        <v>0</v>
      </c>
      <c r="K33" s="985"/>
    </row>
    <row r="34" spans="1:19" s="296" customFormat="1" ht="24.95" customHeight="1">
      <c r="A34" s="297">
        <v>9</v>
      </c>
      <c r="B34" s="290" t="s">
        <v>12</v>
      </c>
      <c r="C34" s="290" t="s">
        <v>4</v>
      </c>
      <c r="D34" s="291" t="s">
        <v>10</v>
      </c>
      <c r="E34" s="292">
        <v>38078</v>
      </c>
      <c r="F34" s="292">
        <v>38660</v>
      </c>
      <c r="G34" s="293">
        <f t="shared" si="2"/>
        <v>583</v>
      </c>
      <c r="H34" s="294"/>
      <c r="I34" s="295">
        <v>0.6</v>
      </c>
      <c r="J34" s="333">
        <f t="shared" si="3"/>
        <v>0</v>
      </c>
      <c r="K34" s="985"/>
    </row>
    <row r="35" spans="1:19" s="296" customFormat="1" ht="24.95" customHeight="1">
      <c r="A35" s="297">
        <v>10</v>
      </c>
      <c r="B35" s="290" t="s">
        <v>13</v>
      </c>
      <c r="C35" s="290" t="s">
        <v>4</v>
      </c>
      <c r="D35" s="291" t="s">
        <v>10</v>
      </c>
      <c r="E35" s="301">
        <v>38127</v>
      </c>
      <c r="F35" s="301">
        <v>38717</v>
      </c>
      <c r="G35" s="293">
        <f t="shared" si="2"/>
        <v>591</v>
      </c>
      <c r="H35" s="294"/>
      <c r="I35" s="295">
        <v>1</v>
      </c>
      <c r="J35" s="333">
        <f t="shared" si="3"/>
        <v>0</v>
      </c>
      <c r="K35" s="985"/>
    </row>
    <row r="36" spans="1:19" s="296" customFormat="1" ht="24.95" customHeight="1">
      <c r="A36" s="297">
        <v>11</v>
      </c>
      <c r="B36" s="290" t="s">
        <v>14</v>
      </c>
      <c r="C36" s="290" t="s">
        <v>4</v>
      </c>
      <c r="D36" s="291" t="s">
        <v>10</v>
      </c>
      <c r="E36" s="301">
        <v>38098</v>
      </c>
      <c r="F36" s="292">
        <v>38717</v>
      </c>
      <c r="G36" s="293">
        <f t="shared" si="2"/>
        <v>620</v>
      </c>
      <c r="H36" s="294"/>
      <c r="I36" s="295">
        <v>0.6</v>
      </c>
      <c r="J36" s="333">
        <f t="shared" si="3"/>
        <v>0</v>
      </c>
      <c r="K36" s="985"/>
    </row>
    <row r="37" spans="1:19" s="296" customFormat="1" ht="24.95" customHeight="1">
      <c r="A37" s="297">
        <v>12</v>
      </c>
      <c r="B37" s="290" t="s">
        <v>15</v>
      </c>
      <c r="C37" s="290" t="s">
        <v>4</v>
      </c>
      <c r="D37" s="291" t="s">
        <v>10</v>
      </c>
      <c r="E37" s="301">
        <v>37376</v>
      </c>
      <c r="F37" s="301">
        <v>38730</v>
      </c>
      <c r="G37" s="293">
        <f t="shared" si="2"/>
        <v>1355</v>
      </c>
      <c r="H37" s="294"/>
      <c r="I37" s="295">
        <v>1</v>
      </c>
      <c r="J37" s="333">
        <f t="shared" si="3"/>
        <v>0</v>
      </c>
      <c r="K37" s="985"/>
    </row>
    <row r="38" spans="1:19" s="296" customFormat="1" ht="24.95" customHeight="1">
      <c r="A38" s="297">
        <v>13</v>
      </c>
      <c r="B38" s="290" t="s">
        <v>16</v>
      </c>
      <c r="C38" s="290" t="s">
        <v>4</v>
      </c>
      <c r="D38" s="291" t="s">
        <v>10</v>
      </c>
      <c r="E38" s="301">
        <v>38750</v>
      </c>
      <c r="F38" s="292">
        <v>39082</v>
      </c>
      <c r="G38" s="293">
        <f t="shared" si="2"/>
        <v>333</v>
      </c>
      <c r="H38" s="294"/>
      <c r="I38" s="295">
        <v>0.6</v>
      </c>
      <c r="J38" s="333">
        <f t="shared" si="3"/>
        <v>0</v>
      </c>
      <c r="K38" s="985"/>
    </row>
    <row r="39" spans="1:19" s="296" customFormat="1" ht="24.95" customHeight="1">
      <c r="A39" s="297">
        <v>15</v>
      </c>
      <c r="B39" s="290" t="s">
        <v>178</v>
      </c>
      <c r="C39" s="290" t="s">
        <v>4</v>
      </c>
      <c r="D39" s="291" t="s">
        <v>10</v>
      </c>
      <c r="E39" s="301">
        <v>37435</v>
      </c>
      <c r="F39" s="292">
        <v>39414</v>
      </c>
      <c r="G39" s="293">
        <f t="shared" si="2"/>
        <v>1980</v>
      </c>
      <c r="H39" s="294"/>
      <c r="I39" s="295">
        <v>1</v>
      </c>
      <c r="J39" s="333">
        <f t="shared" si="3"/>
        <v>0</v>
      </c>
      <c r="K39" s="985"/>
    </row>
    <row r="40" spans="1:19" s="296" customFormat="1" ht="24.95" customHeight="1">
      <c r="A40" s="297">
        <v>16</v>
      </c>
      <c r="B40" s="290" t="s">
        <v>17</v>
      </c>
      <c r="C40" s="290" t="s">
        <v>4</v>
      </c>
      <c r="D40" s="291" t="s">
        <v>10</v>
      </c>
      <c r="E40" s="301">
        <v>38834</v>
      </c>
      <c r="F40" s="301">
        <v>39482</v>
      </c>
      <c r="G40" s="293">
        <f t="shared" si="2"/>
        <v>649</v>
      </c>
      <c r="H40" s="294"/>
      <c r="I40" s="295">
        <v>1</v>
      </c>
      <c r="J40" s="333">
        <f t="shared" si="3"/>
        <v>0</v>
      </c>
      <c r="K40" s="985"/>
    </row>
    <row r="41" spans="1:19" s="298" customFormat="1" ht="24.95" customHeight="1" thickBot="1">
      <c r="A41" s="993" t="s">
        <v>5</v>
      </c>
      <c r="B41" s="994"/>
      <c r="C41" s="994"/>
      <c r="D41" s="994"/>
      <c r="E41" s="994"/>
      <c r="F41" s="994"/>
      <c r="G41" s="994"/>
      <c r="H41" s="994"/>
      <c r="I41" s="994"/>
      <c r="J41" s="302">
        <f>ROUND((SUM(J27:J40))/365,2)</f>
        <v>0</v>
      </c>
      <c r="K41" s="303"/>
    </row>
    <row r="42" spans="1:19" s="298" customFormat="1" ht="24.95" customHeight="1">
      <c r="A42" s="328"/>
      <c r="B42" s="328"/>
      <c r="C42" s="328"/>
      <c r="D42" s="328"/>
      <c r="E42" s="328"/>
      <c r="F42" s="328"/>
      <c r="G42" s="328"/>
      <c r="H42" s="328"/>
      <c r="I42" s="328"/>
      <c r="J42" s="329"/>
    </row>
    <row r="43" spans="1:19" s="279" customFormat="1" ht="23.25" customHeight="1">
      <c r="A43" s="995" t="str">
        <f>배점기준!C5</f>
        <v>소음진동</v>
      </c>
      <c r="B43" s="996"/>
      <c r="C43" s="327" t="s">
        <v>225</v>
      </c>
      <c r="D43" s="997" t="s">
        <v>2</v>
      </c>
      <c r="E43" s="998"/>
      <c r="F43" s="275"/>
      <c r="G43" s="275"/>
      <c r="H43" s="275"/>
      <c r="I43" s="276"/>
      <c r="J43" s="277"/>
      <c r="K43" s="278"/>
    </row>
    <row r="44" spans="1:19" s="284" customFormat="1" ht="9" customHeight="1" thickBot="1">
      <c r="A44" s="280"/>
      <c r="B44" s="281"/>
      <c r="C44" s="280"/>
      <c r="D44" s="280"/>
      <c r="E44" s="280"/>
      <c r="F44" s="280"/>
      <c r="G44" s="280"/>
      <c r="H44" s="280"/>
      <c r="I44" s="282"/>
      <c r="J44" s="283"/>
    </row>
    <row r="45" spans="1:19" s="286" customFormat="1" ht="24.95" customHeight="1">
      <c r="A45" s="987" t="s">
        <v>6</v>
      </c>
      <c r="B45" s="989" t="s">
        <v>7</v>
      </c>
      <c r="C45" s="980" t="s">
        <v>8</v>
      </c>
      <c r="D45" s="980" t="s">
        <v>253</v>
      </c>
      <c r="E45" s="991" t="s">
        <v>384</v>
      </c>
      <c r="F45" s="992"/>
      <c r="G45" s="992"/>
      <c r="H45" s="976" t="s">
        <v>482</v>
      </c>
      <c r="I45" s="285" t="s">
        <v>483</v>
      </c>
      <c r="J45" s="978" t="s">
        <v>386</v>
      </c>
      <c r="K45" s="982" t="s">
        <v>9</v>
      </c>
    </row>
    <row r="46" spans="1:19" s="286" customFormat="1" ht="24.95" customHeight="1">
      <c r="A46" s="988"/>
      <c r="B46" s="990"/>
      <c r="C46" s="981"/>
      <c r="D46" s="981"/>
      <c r="E46" s="287" t="s">
        <v>387</v>
      </c>
      <c r="F46" s="287" t="s">
        <v>388</v>
      </c>
      <c r="G46" s="288" t="s">
        <v>179</v>
      </c>
      <c r="H46" s="977"/>
      <c r="I46" s="143" t="s">
        <v>215</v>
      </c>
      <c r="J46" s="979"/>
      <c r="K46" s="983"/>
    </row>
    <row r="47" spans="1:19" s="296" customFormat="1" ht="24.95" customHeight="1">
      <c r="A47" s="289">
        <v>1</v>
      </c>
      <c r="B47" s="290" t="s">
        <v>172</v>
      </c>
      <c r="C47" s="290" t="s">
        <v>4</v>
      </c>
      <c r="D47" s="291" t="s">
        <v>10</v>
      </c>
      <c r="E47" s="292">
        <v>34645</v>
      </c>
      <c r="F47" s="292">
        <v>36522</v>
      </c>
      <c r="G47" s="293">
        <f>F47-E47+1</f>
        <v>1878</v>
      </c>
      <c r="H47" s="294"/>
      <c r="I47" s="295">
        <v>1</v>
      </c>
      <c r="J47" s="333">
        <f t="shared" ref="J47:J60" si="4">ROUND(H47*I47,0)</f>
        <v>0</v>
      </c>
      <c r="K47" s="984"/>
    </row>
    <row r="48" spans="1:19" s="298" customFormat="1" ht="24.95" customHeight="1">
      <c r="A48" s="297">
        <v>2</v>
      </c>
      <c r="B48" s="290" t="s">
        <v>173</v>
      </c>
      <c r="C48" s="290" t="s">
        <v>4</v>
      </c>
      <c r="D48" s="291" t="s">
        <v>10</v>
      </c>
      <c r="E48" s="292">
        <v>34692</v>
      </c>
      <c r="F48" s="292">
        <v>37063</v>
      </c>
      <c r="G48" s="293">
        <f t="shared" ref="G48:G60" si="5">F48-E48+1</f>
        <v>2372</v>
      </c>
      <c r="H48" s="294"/>
      <c r="I48" s="295">
        <v>0.6</v>
      </c>
      <c r="J48" s="333">
        <f t="shared" si="4"/>
        <v>0</v>
      </c>
      <c r="K48" s="985"/>
      <c r="S48" s="299" t="s">
        <v>251</v>
      </c>
    </row>
    <row r="49" spans="1:19" s="298" customFormat="1" ht="24.95" customHeight="1">
      <c r="A49" s="297">
        <v>3</v>
      </c>
      <c r="B49" s="290" t="s">
        <v>174</v>
      </c>
      <c r="C49" s="290" t="s">
        <v>4</v>
      </c>
      <c r="D49" s="291" t="s">
        <v>10</v>
      </c>
      <c r="E49" s="292">
        <v>34967</v>
      </c>
      <c r="F49" s="292">
        <v>36871</v>
      </c>
      <c r="G49" s="293">
        <f t="shared" si="5"/>
        <v>1905</v>
      </c>
      <c r="H49" s="294"/>
      <c r="I49" s="295">
        <v>1</v>
      </c>
      <c r="J49" s="333">
        <f t="shared" si="4"/>
        <v>0</v>
      </c>
      <c r="K49" s="985"/>
      <c r="S49" s="300">
        <v>1</v>
      </c>
    </row>
    <row r="50" spans="1:19" s="298" customFormat="1" ht="24.95" customHeight="1">
      <c r="A50" s="297">
        <v>4</v>
      </c>
      <c r="B50" s="290" t="s">
        <v>175</v>
      </c>
      <c r="C50" s="290" t="s">
        <v>4</v>
      </c>
      <c r="D50" s="291" t="s">
        <v>10</v>
      </c>
      <c r="E50" s="292">
        <v>36194</v>
      </c>
      <c r="F50" s="292">
        <v>37008</v>
      </c>
      <c r="G50" s="293">
        <f t="shared" si="5"/>
        <v>815</v>
      </c>
      <c r="H50" s="294"/>
      <c r="I50" s="295">
        <v>0.6</v>
      </c>
      <c r="J50" s="333">
        <f t="shared" si="4"/>
        <v>0</v>
      </c>
      <c r="K50" s="985"/>
      <c r="S50" s="300">
        <v>0.6</v>
      </c>
    </row>
    <row r="51" spans="1:19" s="298" customFormat="1" ht="24.95" customHeight="1">
      <c r="A51" s="297">
        <v>5</v>
      </c>
      <c r="B51" s="290" t="s">
        <v>11</v>
      </c>
      <c r="C51" s="290" t="s">
        <v>4</v>
      </c>
      <c r="D51" s="291" t="s">
        <v>10</v>
      </c>
      <c r="E51" s="292">
        <v>37369</v>
      </c>
      <c r="F51" s="292">
        <v>37954</v>
      </c>
      <c r="G51" s="293">
        <f t="shared" si="5"/>
        <v>586</v>
      </c>
      <c r="H51" s="294"/>
      <c r="I51" s="295">
        <v>1</v>
      </c>
      <c r="J51" s="333">
        <f t="shared" si="4"/>
        <v>0</v>
      </c>
      <c r="K51" s="985"/>
    </row>
    <row r="52" spans="1:19" s="296" customFormat="1" ht="24.95" customHeight="1">
      <c r="A52" s="297">
        <v>7</v>
      </c>
      <c r="B52" s="290" t="s">
        <v>176</v>
      </c>
      <c r="C52" s="290" t="s">
        <v>4</v>
      </c>
      <c r="D52" s="291" t="s">
        <v>10</v>
      </c>
      <c r="E52" s="292">
        <v>37673</v>
      </c>
      <c r="F52" s="292">
        <v>38929</v>
      </c>
      <c r="G52" s="293">
        <f t="shared" si="5"/>
        <v>1257</v>
      </c>
      <c r="H52" s="294"/>
      <c r="I52" s="295">
        <v>0.6</v>
      </c>
      <c r="J52" s="333">
        <f t="shared" si="4"/>
        <v>0</v>
      </c>
      <c r="K52" s="985"/>
    </row>
    <row r="53" spans="1:19" s="296" customFormat="1" ht="24.95" customHeight="1">
      <c r="A53" s="297">
        <v>8</v>
      </c>
      <c r="B53" s="290" t="s">
        <v>177</v>
      </c>
      <c r="C53" s="290" t="s">
        <v>4</v>
      </c>
      <c r="D53" s="291" t="s">
        <v>10</v>
      </c>
      <c r="E53" s="292">
        <v>38240</v>
      </c>
      <c r="F53" s="292">
        <v>39562</v>
      </c>
      <c r="G53" s="293">
        <f t="shared" si="5"/>
        <v>1323</v>
      </c>
      <c r="H53" s="294"/>
      <c r="I53" s="295">
        <v>1</v>
      </c>
      <c r="J53" s="333">
        <f t="shared" si="4"/>
        <v>0</v>
      </c>
      <c r="K53" s="985"/>
    </row>
    <row r="54" spans="1:19" s="296" customFormat="1" ht="24.95" customHeight="1">
      <c r="A54" s="297">
        <v>9</v>
      </c>
      <c r="B54" s="290" t="s">
        <v>12</v>
      </c>
      <c r="C54" s="290" t="s">
        <v>4</v>
      </c>
      <c r="D54" s="291" t="s">
        <v>10</v>
      </c>
      <c r="E54" s="292">
        <v>38078</v>
      </c>
      <c r="F54" s="292">
        <v>38660</v>
      </c>
      <c r="G54" s="293">
        <f t="shared" si="5"/>
        <v>583</v>
      </c>
      <c r="H54" s="294"/>
      <c r="I54" s="295">
        <v>0.6</v>
      </c>
      <c r="J54" s="333">
        <f t="shared" si="4"/>
        <v>0</v>
      </c>
      <c r="K54" s="985"/>
    </row>
    <row r="55" spans="1:19" s="296" customFormat="1" ht="24.95" customHeight="1">
      <c r="A55" s="297">
        <v>10</v>
      </c>
      <c r="B55" s="290" t="s">
        <v>13</v>
      </c>
      <c r="C55" s="290" t="s">
        <v>4</v>
      </c>
      <c r="D55" s="291" t="s">
        <v>10</v>
      </c>
      <c r="E55" s="301">
        <v>38127</v>
      </c>
      <c r="F55" s="301">
        <v>38717</v>
      </c>
      <c r="G55" s="293">
        <f t="shared" si="5"/>
        <v>591</v>
      </c>
      <c r="H55" s="294"/>
      <c r="I55" s="295">
        <v>1</v>
      </c>
      <c r="J55" s="333">
        <f t="shared" si="4"/>
        <v>0</v>
      </c>
      <c r="K55" s="985"/>
    </row>
    <row r="56" spans="1:19" s="296" customFormat="1" ht="24.95" customHeight="1">
      <c r="A56" s="297">
        <v>11</v>
      </c>
      <c r="B56" s="290" t="s">
        <v>14</v>
      </c>
      <c r="C56" s="290" t="s">
        <v>4</v>
      </c>
      <c r="D56" s="291" t="s">
        <v>10</v>
      </c>
      <c r="E56" s="301">
        <v>38098</v>
      </c>
      <c r="F56" s="292">
        <v>38717</v>
      </c>
      <c r="G56" s="293">
        <f t="shared" si="5"/>
        <v>620</v>
      </c>
      <c r="H56" s="294"/>
      <c r="I56" s="295">
        <v>0.6</v>
      </c>
      <c r="J56" s="333">
        <f t="shared" si="4"/>
        <v>0</v>
      </c>
      <c r="K56" s="985"/>
    </row>
    <row r="57" spans="1:19" s="296" customFormat="1" ht="24.95" customHeight="1">
      <c r="A57" s="297">
        <v>12</v>
      </c>
      <c r="B57" s="290" t="s">
        <v>15</v>
      </c>
      <c r="C57" s="290" t="s">
        <v>4</v>
      </c>
      <c r="D57" s="291" t="s">
        <v>10</v>
      </c>
      <c r="E57" s="301">
        <v>37376</v>
      </c>
      <c r="F57" s="301">
        <v>38730</v>
      </c>
      <c r="G57" s="293">
        <f t="shared" si="5"/>
        <v>1355</v>
      </c>
      <c r="H57" s="294"/>
      <c r="I57" s="295">
        <v>1</v>
      </c>
      <c r="J57" s="333">
        <f t="shared" si="4"/>
        <v>0</v>
      </c>
      <c r="K57" s="985"/>
    </row>
    <row r="58" spans="1:19" s="296" customFormat="1" ht="24.95" customHeight="1">
      <c r="A58" s="297">
        <v>13</v>
      </c>
      <c r="B58" s="290" t="s">
        <v>16</v>
      </c>
      <c r="C58" s="290" t="s">
        <v>4</v>
      </c>
      <c r="D58" s="291" t="s">
        <v>10</v>
      </c>
      <c r="E58" s="301">
        <v>38750</v>
      </c>
      <c r="F58" s="292">
        <v>39082</v>
      </c>
      <c r="G58" s="293">
        <f t="shared" si="5"/>
        <v>333</v>
      </c>
      <c r="H58" s="294"/>
      <c r="I58" s="295">
        <v>0.6</v>
      </c>
      <c r="J58" s="333">
        <f t="shared" si="4"/>
        <v>0</v>
      </c>
      <c r="K58" s="985"/>
    </row>
    <row r="59" spans="1:19" s="296" customFormat="1" ht="24.95" customHeight="1">
      <c r="A59" s="297">
        <v>15</v>
      </c>
      <c r="B59" s="290" t="s">
        <v>178</v>
      </c>
      <c r="C59" s="290" t="s">
        <v>4</v>
      </c>
      <c r="D59" s="291" t="s">
        <v>10</v>
      </c>
      <c r="E59" s="301">
        <v>37435</v>
      </c>
      <c r="F59" s="292">
        <v>39414</v>
      </c>
      <c r="G59" s="293">
        <f t="shared" si="5"/>
        <v>1980</v>
      </c>
      <c r="H59" s="294"/>
      <c r="I59" s="295">
        <v>1</v>
      </c>
      <c r="J59" s="333">
        <f t="shared" si="4"/>
        <v>0</v>
      </c>
      <c r="K59" s="985"/>
    </row>
    <row r="60" spans="1:19" s="296" customFormat="1" ht="24.95" customHeight="1">
      <c r="A60" s="297">
        <v>16</v>
      </c>
      <c r="B60" s="290" t="s">
        <v>17</v>
      </c>
      <c r="C60" s="290" t="s">
        <v>4</v>
      </c>
      <c r="D60" s="291" t="s">
        <v>10</v>
      </c>
      <c r="E60" s="301">
        <v>38834</v>
      </c>
      <c r="F60" s="301">
        <v>39482</v>
      </c>
      <c r="G60" s="293">
        <f t="shared" si="5"/>
        <v>649</v>
      </c>
      <c r="H60" s="294"/>
      <c r="I60" s="295">
        <v>1</v>
      </c>
      <c r="J60" s="333">
        <f t="shared" si="4"/>
        <v>0</v>
      </c>
      <c r="K60" s="985"/>
    </row>
    <row r="61" spans="1:19" s="298" customFormat="1" ht="24.95" customHeight="1" thickBot="1">
      <c r="A61" s="993" t="s">
        <v>5</v>
      </c>
      <c r="B61" s="994"/>
      <c r="C61" s="994"/>
      <c r="D61" s="994"/>
      <c r="E61" s="994"/>
      <c r="F61" s="994"/>
      <c r="G61" s="994"/>
      <c r="H61" s="994"/>
      <c r="I61" s="994"/>
      <c r="J61" s="302">
        <f>ROUND((SUM(J47:J60))/365,2)</f>
        <v>0</v>
      </c>
      <c r="K61" s="303"/>
    </row>
    <row r="62" spans="1:19" s="298" customFormat="1" ht="24.95" customHeight="1">
      <c r="A62" s="328"/>
      <c r="B62" s="328"/>
      <c r="C62" s="328"/>
      <c r="D62" s="328"/>
      <c r="E62" s="328"/>
      <c r="F62" s="328"/>
      <c r="G62" s="328"/>
      <c r="H62" s="328"/>
      <c r="I62" s="328"/>
      <c r="J62" s="329"/>
    </row>
    <row r="63" spans="1:19" s="279" customFormat="1" ht="23.25" customHeight="1">
      <c r="A63" s="995" t="str">
        <f>배점기준!C6</f>
        <v>폐기물처리</v>
      </c>
      <c r="B63" s="996"/>
      <c r="C63" s="327" t="s">
        <v>225</v>
      </c>
      <c r="D63" s="997" t="s">
        <v>2</v>
      </c>
      <c r="E63" s="998"/>
      <c r="F63" s="275"/>
      <c r="G63" s="275"/>
      <c r="H63" s="275"/>
      <c r="I63" s="276"/>
      <c r="J63" s="277"/>
      <c r="K63" s="278"/>
    </row>
    <row r="64" spans="1:19" s="284" customFormat="1" ht="9" customHeight="1" thickBot="1">
      <c r="A64" s="280"/>
      <c r="B64" s="281"/>
      <c r="C64" s="280"/>
      <c r="D64" s="280"/>
      <c r="E64" s="280"/>
      <c r="F64" s="280"/>
      <c r="G64" s="280"/>
      <c r="H64" s="280"/>
      <c r="I64" s="282"/>
      <c r="J64" s="283"/>
    </row>
    <row r="65" spans="1:19" s="286" customFormat="1" ht="24.95" customHeight="1">
      <c r="A65" s="987" t="s">
        <v>6</v>
      </c>
      <c r="B65" s="989" t="s">
        <v>7</v>
      </c>
      <c r="C65" s="980" t="s">
        <v>8</v>
      </c>
      <c r="D65" s="980" t="s">
        <v>253</v>
      </c>
      <c r="E65" s="991" t="s">
        <v>384</v>
      </c>
      <c r="F65" s="992"/>
      <c r="G65" s="992"/>
      <c r="H65" s="976" t="s">
        <v>482</v>
      </c>
      <c r="I65" s="285" t="s">
        <v>483</v>
      </c>
      <c r="J65" s="978" t="s">
        <v>386</v>
      </c>
      <c r="K65" s="982" t="s">
        <v>9</v>
      </c>
    </row>
    <row r="66" spans="1:19" s="286" customFormat="1" ht="24.95" customHeight="1">
      <c r="A66" s="988"/>
      <c r="B66" s="990"/>
      <c r="C66" s="981"/>
      <c r="D66" s="981"/>
      <c r="E66" s="287" t="s">
        <v>387</v>
      </c>
      <c r="F66" s="287" t="s">
        <v>388</v>
      </c>
      <c r="G66" s="288" t="s">
        <v>179</v>
      </c>
      <c r="H66" s="977"/>
      <c r="I66" s="143" t="s">
        <v>215</v>
      </c>
      <c r="J66" s="979"/>
      <c r="K66" s="983"/>
    </row>
    <row r="67" spans="1:19" s="296" customFormat="1" ht="24.95" customHeight="1">
      <c r="A67" s="289">
        <v>1</v>
      </c>
      <c r="B67" s="290" t="s">
        <v>172</v>
      </c>
      <c r="C67" s="290" t="s">
        <v>4</v>
      </c>
      <c r="D67" s="291" t="s">
        <v>10</v>
      </c>
      <c r="E67" s="292">
        <v>34645</v>
      </c>
      <c r="F67" s="292">
        <v>36522</v>
      </c>
      <c r="G67" s="293">
        <f>F67-E67+1</f>
        <v>1878</v>
      </c>
      <c r="H67" s="294"/>
      <c r="I67" s="295">
        <v>1</v>
      </c>
      <c r="J67" s="333">
        <f t="shared" ref="J67:J80" si="6">ROUND(H67*I67,0)</f>
        <v>0</v>
      </c>
      <c r="K67" s="984"/>
    </row>
    <row r="68" spans="1:19" s="298" customFormat="1" ht="24.95" customHeight="1">
      <c r="A68" s="297">
        <v>2</v>
      </c>
      <c r="B68" s="290" t="s">
        <v>173</v>
      </c>
      <c r="C68" s="290" t="s">
        <v>4</v>
      </c>
      <c r="D68" s="291" t="s">
        <v>10</v>
      </c>
      <c r="E68" s="292">
        <v>34692</v>
      </c>
      <c r="F68" s="292">
        <v>37063</v>
      </c>
      <c r="G68" s="293">
        <f t="shared" ref="G68:G80" si="7">F68-E68+1</f>
        <v>2372</v>
      </c>
      <c r="H68" s="294"/>
      <c r="I68" s="295">
        <v>0.6</v>
      </c>
      <c r="J68" s="333">
        <f t="shared" si="6"/>
        <v>0</v>
      </c>
      <c r="K68" s="985"/>
      <c r="S68" s="299" t="s">
        <v>251</v>
      </c>
    </row>
    <row r="69" spans="1:19" s="298" customFormat="1" ht="24.95" customHeight="1">
      <c r="A69" s="297">
        <v>3</v>
      </c>
      <c r="B69" s="290" t="s">
        <v>174</v>
      </c>
      <c r="C69" s="290" t="s">
        <v>4</v>
      </c>
      <c r="D69" s="291" t="s">
        <v>10</v>
      </c>
      <c r="E69" s="292">
        <v>34967</v>
      </c>
      <c r="F69" s="292">
        <v>36871</v>
      </c>
      <c r="G69" s="293">
        <f t="shared" si="7"/>
        <v>1905</v>
      </c>
      <c r="H69" s="294"/>
      <c r="I69" s="295">
        <v>1</v>
      </c>
      <c r="J69" s="333">
        <f t="shared" si="6"/>
        <v>0</v>
      </c>
      <c r="K69" s="985"/>
      <c r="S69" s="300">
        <v>1</v>
      </c>
    </row>
    <row r="70" spans="1:19" s="298" customFormat="1" ht="24.95" customHeight="1">
      <c r="A70" s="297">
        <v>4</v>
      </c>
      <c r="B70" s="290" t="s">
        <v>175</v>
      </c>
      <c r="C70" s="290" t="s">
        <v>4</v>
      </c>
      <c r="D70" s="291" t="s">
        <v>10</v>
      </c>
      <c r="E70" s="292">
        <v>36194</v>
      </c>
      <c r="F70" s="292">
        <v>37008</v>
      </c>
      <c r="G70" s="293">
        <f t="shared" si="7"/>
        <v>815</v>
      </c>
      <c r="H70" s="294"/>
      <c r="I70" s="295">
        <v>0.6</v>
      </c>
      <c r="J70" s="333">
        <f t="shared" si="6"/>
        <v>0</v>
      </c>
      <c r="K70" s="985"/>
      <c r="S70" s="300">
        <v>0.6</v>
      </c>
    </row>
    <row r="71" spans="1:19" s="298" customFormat="1" ht="24.95" customHeight="1">
      <c r="A71" s="297">
        <v>5</v>
      </c>
      <c r="B71" s="290" t="s">
        <v>11</v>
      </c>
      <c r="C71" s="290" t="s">
        <v>4</v>
      </c>
      <c r="D71" s="291" t="s">
        <v>10</v>
      </c>
      <c r="E71" s="292">
        <v>37369</v>
      </c>
      <c r="F71" s="292">
        <v>37954</v>
      </c>
      <c r="G71" s="293">
        <f t="shared" si="7"/>
        <v>586</v>
      </c>
      <c r="H71" s="294"/>
      <c r="I71" s="295">
        <v>1</v>
      </c>
      <c r="J71" s="333">
        <f t="shared" si="6"/>
        <v>0</v>
      </c>
      <c r="K71" s="985"/>
    </row>
    <row r="72" spans="1:19" s="296" customFormat="1" ht="24.95" customHeight="1">
      <c r="A72" s="297">
        <v>7</v>
      </c>
      <c r="B72" s="290" t="s">
        <v>176</v>
      </c>
      <c r="C72" s="290" t="s">
        <v>4</v>
      </c>
      <c r="D72" s="291" t="s">
        <v>10</v>
      </c>
      <c r="E72" s="292">
        <v>37673</v>
      </c>
      <c r="F72" s="292">
        <v>38929</v>
      </c>
      <c r="G72" s="293">
        <f t="shared" si="7"/>
        <v>1257</v>
      </c>
      <c r="H72" s="294"/>
      <c r="I72" s="295">
        <v>0.6</v>
      </c>
      <c r="J72" s="333">
        <f t="shared" si="6"/>
        <v>0</v>
      </c>
      <c r="K72" s="985"/>
    </row>
    <row r="73" spans="1:19" s="296" customFormat="1" ht="24.95" customHeight="1">
      <c r="A73" s="297">
        <v>8</v>
      </c>
      <c r="B73" s="290" t="s">
        <v>177</v>
      </c>
      <c r="C73" s="290" t="s">
        <v>4</v>
      </c>
      <c r="D73" s="291" t="s">
        <v>10</v>
      </c>
      <c r="E73" s="292">
        <v>38240</v>
      </c>
      <c r="F73" s="292">
        <v>39562</v>
      </c>
      <c r="G73" s="293">
        <f t="shared" si="7"/>
        <v>1323</v>
      </c>
      <c r="H73" s="294"/>
      <c r="I73" s="295">
        <v>1</v>
      </c>
      <c r="J73" s="333">
        <f t="shared" si="6"/>
        <v>0</v>
      </c>
      <c r="K73" s="985"/>
    </row>
    <row r="74" spans="1:19" s="296" customFormat="1" ht="24.95" customHeight="1">
      <c r="A74" s="297">
        <v>9</v>
      </c>
      <c r="B74" s="290" t="s">
        <v>12</v>
      </c>
      <c r="C74" s="290" t="s">
        <v>4</v>
      </c>
      <c r="D74" s="291" t="s">
        <v>10</v>
      </c>
      <c r="E74" s="292">
        <v>38078</v>
      </c>
      <c r="F74" s="292">
        <v>38660</v>
      </c>
      <c r="G74" s="293">
        <f t="shared" si="7"/>
        <v>583</v>
      </c>
      <c r="H74" s="294"/>
      <c r="I74" s="295">
        <v>0.6</v>
      </c>
      <c r="J74" s="333">
        <f t="shared" si="6"/>
        <v>0</v>
      </c>
      <c r="K74" s="985"/>
    </row>
    <row r="75" spans="1:19" s="296" customFormat="1" ht="24.95" customHeight="1">
      <c r="A75" s="297">
        <v>10</v>
      </c>
      <c r="B75" s="290" t="s">
        <v>13</v>
      </c>
      <c r="C75" s="290" t="s">
        <v>4</v>
      </c>
      <c r="D75" s="291" t="s">
        <v>10</v>
      </c>
      <c r="E75" s="301">
        <v>38127</v>
      </c>
      <c r="F75" s="301">
        <v>38717</v>
      </c>
      <c r="G75" s="293">
        <f t="shared" si="7"/>
        <v>591</v>
      </c>
      <c r="H75" s="294"/>
      <c r="I75" s="295">
        <v>1</v>
      </c>
      <c r="J75" s="333">
        <f t="shared" si="6"/>
        <v>0</v>
      </c>
      <c r="K75" s="985"/>
    </row>
    <row r="76" spans="1:19" s="296" customFormat="1" ht="24.95" customHeight="1">
      <c r="A76" s="297">
        <v>11</v>
      </c>
      <c r="B76" s="290" t="s">
        <v>14</v>
      </c>
      <c r="C76" s="290" t="s">
        <v>4</v>
      </c>
      <c r="D76" s="291" t="s">
        <v>10</v>
      </c>
      <c r="E76" s="301">
        <v>38098</v>
      </c>
      <c r="F76" s="292">
        <v>38717</v>
      </c>
      <c r="G76" s="293">
        <f t="shared" si="7"/>
        <v>620</v>
      </c>
      <c r="H76" s="294"/>
      <c r="I76" s="295">
        <v>0.6</v>
      </c>
      <c r="J76" s="333">
        <f t="shared" si="6"/>
        <v>0</v>
      </c>
      <c r="K76" s="985"/>
    </row>
    <row r="77" spans="1:19" s="296" customFormat="1" ht="24.95" customHeight="1">
      <c r="A77" s="297">
        <v>12</v>
      </c>
      <c r="B77" s="290" t="s">
        <v>15</v>
      </c>
      <c r="C77" s="290" t="s">
        <v>4</v>
      </c>
      <c r="D77" s="291" t="s">
        <v>10</v>
      </c>
      <c r="E77" s="301">
        <v>37376</v>
      </c>
      <c r="F77" s="301">
        <v>38730</v>
      </c>
      <c r="G77" s="293">
        <f t="shared" si="7"/>
        <v>1355</v>
      </c>
      <c r="H77" s="294"/>
      <c r="I77" s="295">
        <v>1</v>
      </c>
      <c r="J77" s="333">
        <f t="shared" si="6"/>
        <v>0</v>
      </c>
      <c r="K77" s="985"/>
    </row>
    <row r="78" spans="1:19" s="296" customFormat="1" ht="24.95" customHeight="1">
      <c r="A78" s="297">
        <v>13</v>
      </c>
      <c r="B78" s="290" t="s">
        <v>16</v>
      </c>
      <c r="C78" s="290" t="s">
        <v>4</v>
      </c>
      <c r="D78" s="291" t="s">
        <v>10</v>
      </c>
      <c r="E78" s="301">
        <v>38750</v>
      </c>
      <c r="F78" s="292">
        <v>39082</v>
      </c>
      <c r="G78" s="293">
        <f t="shared" si="7"/>
        <v>333</v>
      </c>
      <c r="H78" s="294"/>
      <c r="I78" s="295">
        <v>0.6</v>
      </c>
      <c r="J78" s="333">
        <f t="shared" si="6"/>
        <v>0</v>
      </c>
      <c r="K78" s="985"/>
    </row>
    <row r="79" spans="1:19" s="296" customFormat="1" ht="24.95" customHeight="1">
      <c r="A79" s="297">
        <v>15</v>
      </c>
      <c r="B79" s="290" t="s">
        <v>178</v>
      </c>
      <c r="C79" s="290" t="s">
        <v>4</v>
      </c>
      <c r="D79" s="291" t="s">
        <v>10</v>
      </c>
      <c r="E79" s="301">
        <v>37435</v>
      </c>
      <c r="F79" s="292">
        <v>39414</v>
      </c>
      <c r="G79" s="293">
        <f t="shared" si="7"/>
        <v>1980</v>
      </c>
      <c r="H79" s="294"/>
      <c r="I79" s="295">
        <v>1</v>
      </c>
      <c r="J79" s="333">
        <f t="shared" si="6"/>
        <v>0</v>
      </c>
      <c r="K79" s="985"/>
    </row>
    <row r="80" spans="1:19" s="296" customFormat="1" ht="24.95" customHeight="1">
      <c r="A80" s="297">
        <v>16</v>
      </c>
      <c r="B80" s="290" t="s">
        <v>17</v>
      </c>
      <c r="C80" s="290" t="s">
        <v>4</v>
      </c>
      <c r="D80" s="291" t="s">
        <v>10</v>
      </c>
      <c r="E80" s="301">
        <v>38834</v>
      </c>
      <c r="F80" s="301">
        <v>39482</v>
      </c>
      <c r="G80" s="293">
        <f t="shared" si="7"/>
        <v>649</v>
      </c>
      <c r="H80" s="294"/>
      <c r="I80" s="295">
        <v>1</v>
      </c>
      <c r="J80" s="333">
        <f t="shared" si="6"/>
        <v>0</v>
      </c>
      <c r="K80" s="985"/>
    </row>
    <row r="81" spans="1:19" s="298" customFormat="1" ht="24.95" customHeight="1" thickBot="1">
      <c r="A81" s="993" t="s">
        <v>5</v>
      </c>
      <c r="B81" s="994"/>
      <c r="C81" s="994"/>
      <c r="D81" s="994"/>
      <c r="E81" s="994"/>
      <c r="F81" s="994"/>
      <c r="G81" s="994"/>
      <c r="H81" s="994"/>
      <c r="I81" s="994"/>
      <c r="J81" s="302">
        <f>ROUND((SUM(J67:J80))/365,2)</f>
        <v>0</v>
      </c>
      <c r="K81" s="303"/>
    </row>
    <row r="82" spans="1:19" s="298" customFormat="1" ht="24.95" customHeight="1">
      <c r="A82" s="328"/>
      <c r="B82" s="328"/>
      <c r="C82" s="328"/>
      <c r="D82" s="328"/>
      <c r="E82" s="328"/>
      <c r="F82" s="328"/>
      <c r="G82" s="328"/>
      <c r="H82" s="328"/>
      <c r="I82" s="328"/>
      <c r="J82" s="329"/>
    </row>
    <row r="83" spans="1:19" s="279" customFormat="1" ht="23.25" customHeight="1">
      <c r="A83" s="995">
        <f>배점기준!C7</f>
        <v>0</v>
      </c>
      <c r="B83" s="996"/>
      <c r="C83" s="327" t="s">
        <v>225</v>
      </c>
      <c r="D83" s="997" t="s">
        <v>2</v>
      </c>
      <c r="E83" s="998"/>
      <c r="F83" s="275"/>
      <c r="G83" s="275"/>
      <c r="H83" s="275"/>
      <c r="I83" s="276"/>
      <c r="J83" s="277"/>
      <c r="K83" s="278"/>
    </row>
    <row r="84" spans="1:19" s="284" customFormat="1" ht="9" customHeight="1" thickBot="1">
      <c r="A84" s="280"/>
      <c r="B84" s="281"/>
      <c r="C84" s="280"/>
      <c r="D84" s="280"/>
      <c r="E84" s="280"/>
      <c r="F84" s="280"/>
      <c r="G84" s="280"/>
      <c r="H84" s="280"/>
      <c r="I84" s="282"/>
      <c r="J84" s="283"/>
    </row>
    <row r="85" spans="1:19" s="286" customFormat="1" ht="24.95" customHeight="1">
      <c r="A85" s="987" t="s">
        <v>6</v>
      </c>
      <c r="B85" s="989" t="s">
        <v>7</v>
      </c>
      <c r="C85" s="980" t="s">
        <v>8</v>
      </c>
      <c r="D85" s="980" t="s">
        <v>253</v>
      </c>
      <c r="E85" s="991" t="s">
        <v>384</v>
      </c>
      <c r="F85" s="992"/>
      <c r="G85" s="992"/>
      <c r="H85" s="976" t="s">
        <v>482</v>
      </c>
      <c r="I85" s="285" t="s">
        <v>483</v>
      </c>
      <c r="J85" s="978" t="s">
        <v>386</v>
      </c>
      <c r="K85" s="982" t="s">
        <v>9</v>
      </c>
    </row>
    <row r="86" spans="1:19" s="286" customFormat="1" ht="24.95" customHeight="1">
      <c r="A86" s="988"/>
      <c r="B86" s="990"/>
      <c r="C86" s="981"/>
      <c r="D86" s="981"/>
      <c r="E86" s="287" t="s">
        <v>387</v>
      </c>
      <c r="F86" s="287" t="s">
        <v>388</v>
      </c>
      <c r="G86" s="288" t="s">
        <v>179</v>
      </c>
      <c r="H86" s="977"/>
      <c r="I86" s="143" t="s">
        <v>215</v>
      </c>
      <c r="J86" s="979"/>
      <c r="K86" s="983"/>
    </row>
    <row r="87" spans="1:19" s="296" customFormat="1" ht="24.95" customHeight="1">
      <c r="A87" s="289">
        <v>1</v>
      </c>
      <c r="B87" s="290" t="s">
        <v>172</v>
      </c>
      <c r="C87" s="290" t="s">
        <v>4</v>
      </c>
      <c r="D87" s="291" t="s">
        <v>10</v>
      </c>
      <c r="E87" s="292">
        <v>34645</v>
      </c>
      <c r="F87" s="292">
        <v>36522</v>
      </c>
      <c r="G87" s="293">
        <f>F87-E87+1</f>
        <v>1878</v>
      </c>
      <c r="H87" s="294"/>
      <c r="I87" s="295">
        <v>1</v>
      </c>
      <c r="J87" s="333">
        <f t="shared" ref="J87:J100" si="8">ROUND(H87*I87,0)</f>
        <v>0</v>
      </c>
      <c r="K87" s="984"/>
    </row>
    <row r="88" spans="1:19" s="298" customFormat="1" ht="24.95" customHeight="1">
      <c r="A88" s="297">
        <v>2</v>
      </c>
      <c r="B88" s="290" t="s">
        <v>173</v>
      </c>
      <c r="C88" s="290" t="s">
        <v>4</v>
      </c>
      <c r="D88" s="291" t="s">
        <v>10</v>
      </c>
      <c r="E88" s="292">
        <v>34692</v>
      </c>
      <c r="F88" s="292">
        <v>37063</v>
      </c>
      <c r="G88" s="293">
        <f t="shared" ref="G88:G100" si="9">F88-E88+1</f>
        <v>2372</v>
      </c>
      <c r="H88" s="294"/>
      <c r="I88" s="295">
        <v>0.6</v>
      </c>
      <c r="J88" s="333">
        <f t="shared" si="8"/>
        <v>0</v>
      </c>
      <c r="K88" s="985"/>
      <c r="S88" s="299" t="s">
        <v>251</v>
      </c>
    </row>
    <row r="89" spans="1:19" s="298" customFormat="1" ht="24.95" customHeight="1">
      <c r="A89" s="297">
        <v>3</v>
      </c>
      <c r="B89" s="290" t="s">
        <v>174</v>
      </c>
      <c r="C89" s="290" t="s">
        <v>4</v>
      </c>
      <c r="D89" s="291" t="s">
        <v>10</v>
      </c>
      <c r="E89" s="292">
        <v>34967</v>
      </c>
      <c r="F89" s="292">
        <v>36871</v>
      </c>
      <c r="G89" s="293">
        <f t="shared" si="9"/>
        <v>1905</v>
      </c>
      <c r="H89" s="294"/>
      <c r="I89" s="295">
        <v>1</v>
      </c>
      <c r="J89" s="333">
        <f t="shared" si="8"/>
        <v>0</v>
      </c>
      <c r="K89" s="985"/>
      <c r="S89" s="300">
        <v>1</v>
      </c>
    </row>
    <row r="90" spans="1:19" s="298" customFormat="1" ht="24.95" customHeight="1">
      <c r="A90" s="297">
        <v>4</v>
      </c>
      <c r="B90" s="290" t="s">
        <v>175</v>
      </c>
      <c r="C90" s="290" t="s">
        <v>4</v>
      </c>
      <c r="D90" s="291" t="s">
        <v>10</v>
      </c>
      <c r="E90" s="292">
        <v>36194</v>
      </c>
      <c r="F90" s="292">
        <v>37008</v>
      </c>
      <c r="G90" s="293">
        <f t="shared" si="9"/>
        <v>815</v>
      </c>
      <c r="H90" s="294"/>
      <c r="I90" s="295">
        <v>0.6</v>
      </c>
      <c r="J90" s="333">
        <f t="shared" si="8"/>
        <v>0</v>
      </c>
      <c r="K90" s="985"/>
      <c r="S90" s="300">
        <v>0.6</v>
      </c>
    </row>
    <row r="91" spans="1:19" s="298" customFormat="1" ht="24.95" customHeight="1">
      <c r="A91" s="297">
        <v>5</v>
      </c>
      <c r="B91" s="290" t="s">
        <v>11</v>
      </c>
      <c r="C91" s="290" t="s">
        <v>4</v>
      </c>
      <c r="D91" s="291" t="s">
        <v>10</v>
      </c>
      <c r="E91" s="292">
        <v>37369</v>
      </c>
      <c r="F91" s="292">
        <v>37954</v>
      </c>
      <c r="G91" s="293">
        <f t="shared" si="9"/>
        <v>586</v>
      </c>
      <c r="H91" s="294"/>
      <c r="I91" s="295">
        <v>1</v>
      </c>
      <c r="J91" s="333">
        <f t="shared" si="8"/>
        <v>0</v>
      </c>
      <c r="K91" s="985"/>
    </row>
    <row r="92" spans="1:19" s="296" customFormat="1" ht="24.95" customHeight="1">
      <c r="A92" s="297">
        <v>7</v>
      </c>
      <c r="B92" s="290" t="s">
        <v>176</v>
      </c>
      <c r="C92" s="290" t="s">
        <v>4</v>
      </c>
      <c r="D92" s="291" t="s">
        <v>10</v>
      </c>
      <c r="E92" s="292">
        <v>37673</v>
      </c>
      <c r="F92" s="292">
        <v>38929</v>
      </c>
      <c r="G92" s="293">
        <f t="shared" si="9"/>
        <v>1257</v>
      </c>
      <c r="H92" s="294"/>
      <c r="I92" s="295">
        <v>0.6</v>
      </c>
      <c r="J92" s="333">
        <f t="shared" si="8"/>
        <v>0</v>
      </c>
      <c r="K92" s="985"/>
    </row>
    <row r="93" spans="1:19" s="296" customFormat="1" ht="24.95" customHeight="1">
      <c r="A93" s="297">
        <v>8</v>
      </c>
      <c r="B93" s="290" t="s">
        <v>177</v>
      </c>
      <c r="C93" s="290" t="s">
        <v>4</v>
      </c>
      <c r="D93" s="291" t="s">
        <v>10</v>
      </c>
      <c r="E93" s="292">
        <v>38240</v>
      </c>
      <c r="F93" s="292">
        <v>39562</v>
      </c>
      <c r="G93" s="293">
        <f t="shared" si="9"/>
        <v>1323</v>
      </c>
      <c r="H93" s="294"/>
      <c r="I93" s="295">
        <v>1</v>
      </c>
      <c r="J93" s="333">
        <f t="shared" si="8"/>
        <v>0</v>
      </c>
      <c r="K93" s="985"/>
    </row>
    <row r="94" spans="1:19" s="296" customFormat="1" ht="24.95" customHeight="1">
      <c r="A94" s="297">
        <v>9</v>
      </c>
      <c r="B94" s="290" t="s">
        <v>12</v>
      </c>
      <c r="C94" s="290" t="s">
        <v>4</v>
      </c>
      <c r="D94" s="291" t="s">
        <v>10</v>
      </c>
      <c r="E94" s="292">
        <v>38078</v>
      </c>
      <c r="F94" s="292">
        <v>38660</v>
      </c>
      <c r="G94" s="293">
        <f t="shared" si="9"/>
        <v>583</v>
      </c>
      <c r="H94" s="294"/>
      <c r="I94" s="295">
        <v>0.6</v>
      </c>
      <c r="J94" s="333">
        <f t="shared" si="8"/>
        <v>0</v>
      </c>
      <c r="K94" s="985"/>
    </row>
    <row r="95" spans="1:19" s="296" customFormat="1" ht="24.95" customHeight="1">
      <c r="A95" s="297">
        <v>10</v>
      </c>
      <c r="B95" s="290" t="s">
        <v>13</v>
      </c>
      <c r="C95" s="290" t="s">
        <v>4</v>
      </c>
      <c r="D95" s="291" t="s">
        <v>10</v>
      </c>
      <c r="E95" s="301">
        <v>38127</v>
      </c>
      <c r="F95" s="301">
        <v>38717</v>
      </c>
      <c r="G95" s="293">
        <f t="shared" si="9"/>
        <v>591</v>
      </c>
      <c r="H95" s="294"/>
      <c r="I95" s="295">
        <v>1</v>
      </c>
      <c r="J95" s="333">
        <f t="shared" si="8"/>
        <v>0</v>
      </c>
      <c r="K95" s="985"/>
    </row>
    <row r="96" spans="1:19" s="296" customFormat="1" ht="24.95" customHeight="1">
      <c r="A96" s="297">
        <v>11</v>
      </c>
      <c r="B96" s="290" t="s">
        <v>14</v>
      </c>
      <c r="C96" s="290" t="s">
        <v>4</v>
      </c>
      <c r="D96" s="291" t="s">
        <v>10</v>
      </c>
      <c r="E96" s="301">
        <v>38098</v>
      </c>
      <c r="F96" s="292">
        <v>38717</v>
      </c>
      <c r="G96" s="293">
        <f t="shared" si="9"/>
        <v>620</v>
      </c>
      <c r="H96" s="294"/>
      <c r="I96" s="295">
        <v>0.6</v>
      </c>
      <c r="J96" s="333">
        <f t="shared" si="8"/>
        <v>0</v>
      </c>
      <c r="K96" s="985"/>
    </row>
    <row r="97" spans="1:19" s="296" customFormat="1" ht="24.95" customHeight="1">
      <c r="A97" s="297">
        <v>12</v>
      </c>
      <c r="B97" s="290" t="s">
        <v>15</v>
      </c>
      <c r="C97" s="290" t="s">
        <v>4</v>
      </c>
      <c r="D97" s="291" t="s">
        <v>10</v>
      </c>
      <c r="E97" s="301">
        <v>37376</v>
      </c>
      <c r="F97" s="301">
        <v>38730</v>
      </c>
      <c r="G97" s="293">
        <f t="shared" si="9"/>
        <v>1355</v>
      </c>
      <c r="H97" s="294"/>
      <c r="I97" s="295">
        <v>1</v>
      </c>
      <c r="J97" s="333">
        <f t="shared" si="8"/>
        <v>0</v>
      </c>
      <c r="K97" s="985"/>
    </row>
    <row r="98" spans="1:19" s="296" customFormat="1" ht="24.95" customHeight="1">
      <c r="A98" s="297">
        <v>13</v>
      </c>
      <c r="B98" s="290" t="s">
        <v>16</v>
      </c>
      <c r="C98" s="290" t="s">
        <v>4</v>
      </c>
      <c r="D98" s="291" t="s">
        <v>10</v>
      </c>
      <c r="E98" s="301">
        <v>38750</v>
      </c>
      <c r="F98" s="292">
        <v>39082</v>
      </c>
      <c r="G98" s="293">
        <f t="shared" si="9"/>
        <v>333</v>
      </c>
      <c r="H98" s="294"/>
      <c r="I98" s="295">
        <v>0.6</v>
      </c>
      <c r="J98" s="333">
        <f t="shared" si="8"/>
        <v>0</v>
      </c>
      <c r="K98" s="985"/>
    </row>
    <row r="99" spans="1:19" s="296" customFormat="1" ht="24.95" customHeight="1">
      <c r="A99" s="297">
        <v>15</v>
      </c>
      <c r="B99" s="290" t="s">
        <v>178</v>
      </c>
      <c r="C99" s="290" t="s">
        <v>4</v>
      </c>
      <c r="D99" s="291" t="s">
        <v>10</v>
      </c>
      <c r="E99" s="301">
        <v>37435</v>
      </c>
      <c r="F99" s="292">
        <v>39414</v>
      </c>
      <c r="G99" s="293">
        <f t="shared" si="9"/>
        <v>1980</v>
      </c>
      <c r="H99" s="294"/>
      <c r="I99" s="295">
        <v>1</v>
      </c>
      <c r="J99" s="333">
        <f t="shared" si="8"/>
        <v>0</v>
      </c>
      <c r="K99" s="985"/>
    </row>
    <row r="100" spans="1:19" s="296" customFormat="1" ht="24.95" customHeight="1">
      <c r="A100" s="297">
        <v>16</v>
      </c>
      <c r="B100" s="290" t="s">
        <v>17</v>
      </c>
      <c r="C100" s="290" t="s">
        <v>4</v>
      </c>
      <c r="D100" s="291" t="s">
        <v>10</v>
      </c>
      <c r="E100" s="301">
        <v>38834</v>
      </c>
      <c r="F100" s="301">
        <v>39482</v>
      </c>
      <c r="G100" s="293">
        <f t="shared" si="9"/>
        <v>649</v>
      </c>
      <c r="H100" s="294"/>
      <c r="I100" s="295">
        <v>1</v>
      </c>
      <c r="J100" s="333">
        <f t="shared" si="8"/>
        <v>0</v>
      </c>
      <c r="K100" s="985"/>
    </row>
    <row r="101" spans="1:19" s="298" customFormat="1" ht="24.95" customHeight="1" thickBot="1">
      <c r="A101" s="993" t="s">
        <v>5</v>
      </c>
      <c r="B101" s="994"/>
      <c r="C101" s="994"/>
      <c r="D101" s="994"/>
      <c r="E101" s="994"/>
      <c r="F101" s="994"/>
      <c r="G101" s="994"/>
      <c r="H101" s="994"/>
      <c r="I101" s="999"/>
      <c r="J101" s="302">
        <f>ROUND((SUM(J87:J100))/365,2)</f>
        <v>0</v>
      </c>
      <c r="K101" s="303"/>
    </row>
    <row r="102" spans="1:19" s="298" customFormat="1" ht="24.95" customHeight="1">
      <c r="A102" s="328"/>
      <c r="B102" s="328"/>
      <c r="C102" s="328"/>
      <c r="D102" s="328"/>
      <c r="E102" s="328"/>
      <c r="F102" s="328"/>
      <c r="G102" s="328"/>
      <c r="H102" s="328"/>
      <c r="I102" s="328"/>
      <c r="J102" s="329"/>
    </row>
    <row r="103" spans="1:19" s="279" customFormat="1" ht="23.25" customHeight="1">
      <c r="A103" s="995">
        <f>배점기준!C8</f>
        <v>0</v>
      </c>
      <c r="B103" s="996"/>
      <c r="C103" s="327" t="s">
        <v>225</v>
      </c>
      <c r="D103" s="997" t="s">
        <v>2</v>
      </c>
      <c r="E103" s="998"/>
      <c r="F103" s="275"/>
      <c r="G103" s="275"/>
      <c r="H103" s="275"/>
      <c r="I103" s="276"/>
      <c r="J103" s="277"/>
      <c r="K103" s="278"/>
    </row>
    <row r="104" spans="1:19" s="284" customFormat="1" ht="9" customHeight="1" thickBot="1">
      <c r="A104" s="280"/>
      <c r="B104" s="281"/>
      <c r="C104" s="280"/>
      <c r="D104" s="280"/>
      <c r="E104" s="280"/>
      <c r="F104" s="280"/>
      <c r="G104" s="280"/>
      <c r="H104" s="280"/>
      <c r="I104" s="282"/>
      <c r="J104" s="283"/>
    </row>
    <row r="105" spans="1:19" s="286" customFormat="1" ht="24.95" customHeight="1">
      <c r="A105" s="987" t="s">
        <v>6</v>
      </c>
      <c r="B105" s="989" t="s">
        <v>7</v>
      </c>
      <c r="C105" s="980" t="s">
        <v>8</v>
      </c>
      <c r="D105" s="980" t="s">
        <v>253</v>
      </c>
      <c r="E105" s="991" t="s">
        <v>384</v>
      </c>
      <c r="F105" s="992"/>
      <c r="G105" s="992"/>
      <c r="H105" s="976" t="s">
        <v>482</v>
      </c>
      <c r="I105" s="285" t="s">
        <v>483</v>
      </c>
      <c r="J105" s="978" t="s">
        <v>386</v>
      </c>
      <c r="K105" s="982" t="s">
        <v>9</v>
      </c>
    </row>
    <row r="106" spans="1:19" s="286" customFormat="1" ht="24.95" customHeight="1">
      <c r="A106" s="988"/>
      <c r="B106" s="990"/>
      <c r="C106" s="981"/>
      <c r="D106" s="981"/>
      <c r="E106" s="287" t="s">
        <v>387</v>
      </c>
      <c r="F106" s="287" t="s">
        <v>388</v>
      </c>
      <c r="G106" s="288" t="s">
        <v>179</v>
      </c>
      <c r="H106" s="977"/>
      <c r="I106" s="143" t="s">
        <v>215</v>
      </c>
      <c r="J106" s="979"/>
      <c r="K106" s="983"/>
    </row>
    <row r="107" spans="1:19" s="296" customFormat="1" ht="24.95" customHeight="1">
      <c r="A107" s="289">
        <v>1</v>
      </c>
      <c r="B107" s="290" t="s">
        <v>172</v>
      </c>
      <c r="C107" s="290" t="s">
        <v>4</v>
      </c>
      <c r="D107" s="291" t="s">
        <v>10</v>
      </c>
      <c r="E107" s="292">
        <v>34645</v>
      </c>
      <c r="F107" s="292">
        <v>36522</v>
      </c>
      <c r="G107" s="293">
        <f>F107-E107+1</f>
        <v>1878</v>
      </c>
      <c r="H107" s="294"/>
      <c r="I107" s="295">
        <v>1</v>
      </c>
      <c r="J107" s="333">
        <f t="shared" ref="J107:J120" si="10">ROUND(H107*I107,0)</f>
        <v>0</v>
      </c>
      <c r="K107" s="984"/>
    </row>
    <row r="108" spans="1:19" s="298" customFormat="1" ht="24.95" customHeight="1">
      <c r="A108" s="297">
        <v>2</v>
      </c>
      <c r="B108" s="290" t="s">
        <v>173</v>
      </c>
      <c r="C108" s="290" t="s">
        <v>4</v>
      </c>
      <c r="D108" s="291" t="s">
        <v>10</v>
      </c>
      <c r="E108" s="292">
        <v>34692</v>
      </c>
      <c r="F108" s="292">
        <v>37063</v>
      </c>
      <c r="G108" s="293">
        <f t="shared" ref="G108:G120" si="11">F108-E108+1</f>
        <v>2372</v>
      </c>
      <c r="H108" s="294"/>
      <c r="I108" s="295">
        <v>0.6</v>
      </c>
      <c r="J108" s="333">
        <f t="shared" si="10"/>
        <v>0</v>
      </c>
      <c r="K108" s="985"/>
      <c r="S108" s="299" t="s">
        <v>251</v>
      </c>
    </row>
    <row r="109" spans="1:19" s="298" customFormat="1" ht="24.95" customHeight="1">
      <c r="A109" s="297">
        <v>3</v>
      </c>
      <c r="B109" s="290" t="s">
        <v>174</v>
      </c>
      <c r="C109" s="290" t="s">
        <v>4</v>
      </c>
      <c r="D109" s="291" t="s">
        <v>10</v>
      </c>
      <c r="E109" s="292">
        <v>34967</v>
      </c>
      <c r="F109" s="292">
        <v>36871</v>
      </c>
      <c r="G109" s="293">
        <f t="shared" si="11"/>
        <v>1905</v>
      </c>
      <c r="H109" s="294"/>
      <c r="I109" s="295">
        <v>1</v>
      </c>
      <c r="J109" s="333">
        <f t="shared" si="10"/>
        <v>0</v>
      </c>
      <c r="K109" s="985"/>
      <c r="S109" s="300">
        <v>1</v>
      </c>
    </row>
    <row r="110" spans="1:19" s="298" customFormat="1" ht="24.95" customHeight="1">
      <c r="A110" s="297">
        <v>4</v>
      </c>
      <c r="B110" s="290" t="s">
        <v>175</v>
      </c>
      <c r="C110" s="290" t="s">
        <v>4</v>
      </c>
      <c r="D110" s="291" t="s">
        <v>10</v>
      </c>
      <c r="E110" s="292">
        <v>36194</v>
      </c>
      <c r="F110" s="292">
        <v>37008</v>
      </c>
      <c r="G110" s="293">
        <f t="shared" si="11"/>
        <v>815</v>
      </c>
      <c r="H110" s="294"/>
      <c r="I110" s="295">
        <v>0.6</v>
      </c>
      <c r="J110" s="333">
        <f t="shared" si="10"/>
        <v>0</v>
      </c>
      <c r="K110" s="985"/>
      <c r="S110" s="300">
        <v>0.6</v>
      </c>
    </row>
    <row r="111" spans="1:19" s="298" customFormat="1" ht="24.95" customHeight="1">
      <c r="A111" s="297">
        <v>5</v>
      </c>
      <c r="B111" s="290" t="s">
        <v>11</v>
      </c>
      <c r="C111" s="290" t="s">
        <v>4</v>
      </c>
      <c r="D111" s="291" t="s">
        <v>10</v>
      </c>
      <c r="E111" s="292">
        <v>37369</v>
      </c>
      <c r="F111" s="292">
        <v>37954</v>
      </c>
      <c r="G111" s="293">
        <f t="shared" si="11"/>
        <v>586</v>
      </c>
      <c r="H111" s="294"/>
      <c r="I111" s="295">
        <v>1</v>
      </c>
      <c r="J111" s="333">
        <f t="shared" si="10"/>
        <v>0</v>
      </c>
      <c r="K111" s="985"/>
    </row>
    <row r="112" spans="1:19" s="296" customFormat="1" ht="24.95" customHeight="1">
      <c r="A112" s="297">
        <v>7</v>
      </c>
      <c r="B112" s="290" t="s">
        <v>176</v>
      </c>
      <c r="C112" s="290" t="s">
        <v>4</v>
      </c>
      <c r="D112" s="291" t="s">
        <v>10</v>
      </c>
      <c r="E112" s="292">
        <v>37673</v>
      </c>
      <c r="F112" s="292">
        <v>38929</v>
      </c>
      <c r="G112" s="293">
        <f t="shared" si="11"/>
        <v>1257</v>
      </c>
      <c r="H112" s="294"/>
      <c r="I112" s="295">
        <v>0.6</v>
      </c>
      <c r="J112" s="333">
        <f t="shared" si="10"/>
        <v>0</v>
      </c>
      <c r="K112" s="985"/>
    </row>
    <row r="113" spans="1:11" s="296" customFormat="1" ht="24.95" customHeight="1">
      <c r="A113" s="297">
        <v>8</v>
      </c>
      <c r="B113" s="290" t="s">
        <v>177</v>
      </c>
      <c r="C113" s="290" t="s">
        <v>4</v>
      </c>
      <c r="D113" s="291" t="s">
        <v>10</v>
      </c>
      <c r="E113" s="292">
        <v>38240</v>
      </c>
      <c r="F113" s="292">
        <v>39562</v>
      </c>
      <c r="G113" s="293">
        <f t="shared" si="11"/>
        <v>1323</v>
      </c>
      <c r="H113" s="294"/>
      <c r="I113" s="295">
        <v>1</v>
      </c>
      <c r="J113" s="333">
        <f t="shared" si="10"/>
        <v>0</v>
      </c>
      <c r="K113" s="985"/>
    </row>
    <row r="114" spans="1:11" s="296" customFormat="1" ht="24.95" customHeight="1">
      <c r="A114" s="297">
        <v>9</v>
      </c>
      <c r="B114" s="290" t="s">
        <v>12</v>
      </c>
      <c r="C114" s="290" t="s">
        <v>4</v>
      </c>
      <c r="D114" s="291" t="s">
        <v>10</v>
      </c>
      <c r="E114" s="292">
        <v>38078</v>
      </c>
      <c r="F114" s="292">
        <v>38660</v>
      </c>
      <c r="G114" s="293">
        <f t="shared" si="11"/>
        <v>583</v>
      </c>
      <c r="H114" s="294"/>
      <c r="I114" s="295">
        <v>0.6</v>
      </c>
      <c r="J114" s="333">
        <f t="shared" si="10"/>
        <v>0</v>
      </c>
      <c r="K114" s="985"/>
    </row>
    <row r="115" spans="1:11" s="296" customFormat="1" ht="24.95" customHeight="1">
      <c r="A115" s="297">
        <v>10</v>
      </c>
      <c r="B115" s="290" t="s">
        <v>13</v>
      </c>
      <c r="C115" s="290" t="s">
        <v>4</v>
      </c>
      <c r="D115" s="291" t="s">
        <v>10</v>
      </c>
      <c r="E115" s="301">
        <v>38127</v>
      </c>
      <c r="F115" s="301">
        <v>38717</v>
      </c>
      <c r="G115" s="293">
        <f t="shared" si="11"/>
        <v>591</v>
      </c>
      <c r="H115" s="294"/>
      <c r="I115" s="295">
        <v>1</v>
      </c>
      <c r="J115" s="333">
        <f t="shared" si="10"/>
        <v>0</v>
      </c>
      <c r="K115" s="985"/>
    </row>
    <row r="116" spans="1:11" s="296" customFormat="1" ht="24.95" customHeight="1">
      <c r="A116" s="297">
        <v>11</v>
      </c>
      <c r="B116" s="290" t="s">
        <v>14</v>
      </c>
      <c r="C116" s="290" t="s">
        <v>4</v>
      </c>
      <c r="D116" s="291" t="s">
        <v>10</v>
      </c>
      <c r="E116" s="301">
        <v>38098</v>
      </c>
      <c r="F116" s="292">
        <v>38717</v>
      </c>
      <c r="G116" s="293">
        <f t="shared" si="11"/>
        <v>620</v>
      </c>
      <c r="H116" s="294"/>
      <c r="I116" s="295">
        <v>0.6</v>
      </c>
      <c r="J116" s="333">
        <f t="shared" si="10"/>
        <v>0</v>
      </c>
      <c r="K116" s="985"/>
    </row>
    <row r="117" spans="1:11" s="296" customFormat="1" ht="24.95" customHeight="1">
      <c r="A117" s="297">
        <v>12</v>
      </c>
      <c r="B117" s="290" t="s">
        <v>15</v>
      </c>
      <c r="C117" s="290" t="s">
        <v>4</v>
      </c>
      <c r="D117" s="291" t="s">
        <v>10</v>
      </c>
      <c r="E117" s="301">
        <v>37376</v>
      </c>
      <c r="F117" s="301">
        <v>38730</v>
      </c>
      <c r="G117" s="293">
        <f t="shared" si="11"/>
        <v>1355</v>
      </c>
      <c r="H117" s="294"/>
      <c r="I117" s="295">
        <v>1</v>
      </c>
      <c r="J117" s="333">
        <f t="shared" si="10"/>
        <v>0</v>
      </c>
      <c r="K117" s="985"/>
    </row>
    <row r="118" spans="1:11" s="296" customFormat="1" ht="24.95" customHeight="1">
      <c r="A118" s="297">
        <v>13</v>
      </c>
      <c r="B118" s="290" t="s">
        <v>16</v>
      </c>
      <c r="C118" s="290" t="s">
        <v>4</v>
      </c>
      <c r="D118" s="291" t="s">
        <v>10</v>
      </c>
      <c r="E118" s="301">
        <v>38750</v>
      </c>
      <c r="F118" s="292">
        <v>39082</v>
      </c>
      <c r="G118" s="293">
        <f t="shared" si="11"/>
        <v>333</v>
      </c>
      <c r="H118" s="294"/>
      <c r="I118" s="295">
        <v>0.6</v>
      </c>
      <c r="J118" s="333">
        <f t="shared" si="10"/>
        <v>0</v>
      </c>
      <c r="K118" s="985"/>
    </row>
    <row r="119" spans="1:11" s="296" customFormat="1" ht="24.95" customHeight="1">
      <c r="A119" s="297">
        <v>15</v>
      </c>
      <c r="B119" s="290" t="s">
        <v>178</v>
      </c>
      <c r="C119" s="290" t="s">
        <v>4</v>
      </c>
      <c r="D119" s="291" t="s">
        <v>10</v>
      </c>
      <c r="E119" s="301">
        <v>37435</v>
      </c>
      <c r="F119" s="292">
        <v>39414</v>
      </c>
      <c r="G119" s="293">
        <f t="shared" si="11"/>
        <v>1980</v>
      </c>
      <c r="H119" s="294"/>
      <c r="I119" s="295">
        <v>1</v>
      </c>
      <c r="J119" s="333">
        <f t="shared" si="10"/>
        <v>0</v>
      </c>
      <c r="K119" s="985"/>
    </row>
    <row r="120" spans="1:11" s="296" customFormat="1" ht="24.95" customHeight="1">
      <c r="A120" s="297">
        <v>16</v>
      </c>
      <c r="B120" s="290" t="s">
        <v>17</v>
      </c>
      <c r="C120" s="290" t="s">
        <v>4</v>
      </c>
      <c r="D120" s="291" t="s">
        <v>10</v>
      </c>
      <c r="E120" s="301">
        <v>38834</v>
      </c>
      <c r="F120" s="301">
        <v>39482</v>
      </c>
      <c r="G120" s="293">
        <f t="shared" si="11"/>
        <v>649</v>
      </c>
      <c r="H120" s="294"/>
      <c r="I120" s="295">
        <v>1</v>
      </c>
      <c r="J120" s="333">
        <f t="shared" si="10"/>
        <v>0</v>
      </c>
      <c r="K120" s="985"/>
    </row>
    <row r="121" spans="1:11" s="298" customFormat="1" ht="24.95" customHeight="1" thickBot="1">
      <c r="A121" s="993" t="s">
        <v>5</v>
      </c>
      <c r="B121" s="994"/>
      <c r="C121" s="994"/>
      <c r="D121" s="994"/>
      <c r="E121" s="994"/>
      <c r="F121" s="994"/>
      <c r="G121" s="994"/>
      <c r="H121" s="994"/>
      <c r="I121" s="994"/>
      <c r="J121" s="302">
        <f>ROUND((SUM(J107:J120))/365,2)</f>
        <v>0</v>
      </c>
      <c r="K121" s="303"/>
    </row>
    <row r="122" spans="1:11" s="306" customFormat="1" ht="15" customHeight="1">
      <c r="A122" s="308"/>
      <c r="B122" s="308"/>
      <c r="C122" s="308"/>
      <c r="D122" s="308"/>
      <c r="E122" s="315"/>
      <c r="F122" s="315"/>
      <c r="G122" s="315"/>
      <c r="H122" s="315"/>
      <c r="I122" s="316"/>
      <c r="J122" s="317"/>
    </row>
    <row r="123" spans="1:11" ht="15" customHeight="1">
      <c r="B123" s="319"/>
      <c r="C123" s="319"/>
      <c r="D123" s="319"/>
      <c r="E123" s="320"/>
      <c r="F123" s="320"/>
      <c r="G123" s="319"/>
    </row>
    <row r="124" spans="1:11" ht="15" customHeight="1">
      <c r="C124" s="320"/>
      <c r="D124" s="320"/>
      <c r="E124" s="320"/>
      <c r="F124" s="320"/>
      <c r="G124" s="319"/>
    </row>
    <row r="125" spans="1:11" ht="15" customHeight="1">
      <c r="C125" s="320"/>
      <c r="D125" s="320"/>
      <c r="E125" s="320"/>
      <c r="F125" s="320"/>
      <c r="G125" s="319"/>
    </row>
    <row r="126" spans="1:11" ht="12" customHeight="1">
      <c r="C126" s="320"/>
      <c r="D126" s="320"/>
      <c r="E126" s="320"/>
      <c r="F126" s="320"/>
      <c r="G126" s="319"/>
    </row>
    <row r="127" spans="1:11" ht="12" customHeight="1">
      <c r="C127" s="320"/>
      <c r="D127" s="320"/>
      <c r="E127" s="320"/>
      <c r="F127" s="320"/>
      <c r="G127" s="319"/>
    </row>
    <row r="128" spans="1:11" ht="12" customHeight="1">
      <c r="C128" s="320"/>
      <c r="D128" s="320"/>
      <c r="E128" s="320"/>
      <c r="F128" s="320"/>
      <c r="G128" s="319"/>
    </row>
    <row r="129" spans="3:7" ht="12" customHeight="1">
      <c r="C129" s="320"/>
      <c r="D129" s="320"/>
      <c r="E129" s="320"/>
      <c r="F129" s="320"/>
      <c r="G129" s="319"/>
    </row>
    <row r="130" spans="3:7" ht="12" customHeight="1">
      <c r="C130" s="320"/>
      <c r="D130" s="320"/>
      <c r="E130" s="320"/>
      <c r="F130" s="320"/>
      <c r="G130" s="319"/>
    </row>
    <row r="131" spans="3:7" ht="12" customHeight="1">
      <c r="C131" s="320"/>
      <c r="D131" s="320"/>
      <c r="E131" s="320"/>
      <c r="F131" s="320"/>
      <c r="G131" s="319"/>
    </row>
    <row r="132" spans="3:7" ht="12" customHeight="1">
      <c r="C132" s="320"/>
      <c r="D132" s="320"/>
      <c r="E132" s="320"/>
      <c r="F132" s="320"/>
      <c r="G132" s="319"/>
    </row>
    <row r="133" spans="3:7" ht="12" customHeight="1">
      <c r="C133" s="320"/>
      <c r="D133" s="320"/>
      <c r="E133" s="320"/>
      <c r="F133" s="320"/>
      <c r="G133" s="319"/>
    </row>
    <row r="134" spans="3:7" ht="12" customHeight="1">
      <c r="C134" s="320"/>
      <c r="D134" s="320"/>
      <c r="E134" s="320"/>
      <c r="F134" s="320"/>
      <c r="G134" s="319"/>
    </row>
    <row r="135" spans="3:7" ht="12" customHeight="1">
      <c r="C135" s="320"/>
      <c r="D135" s="320"/>
      <c r="E135" s="320"/>
      <c r="F135" s="320"/>
      <c r="G135" s="319"/>
    </row>
    <row r="136" spans="3:7" ht="12" customHeight="1">
      <c r="C136" s="320"/>
      <c r="D136" s="320"/>
      <c r="E136" s="320"/>
      <c r="F136" s="320"/>
      <c r="G136" s="319"/>
    </row>
    <row r="137" spans="3:7" ht="12" customHeight="1">
      <c r="C137" s="320"/>
      <c r="D137" s="320"/>
      <c r="E137" s="320"/>
      <c r="F137" s="320"/>
      <c r="G137" s="319"/>
    </row>
    <row r="138" spans="3:7" ht="12" customHeight="1">
      <c r="C138" s="320"/>
      <c r="D138" s="320"/>
      <c r="E138" s="320"/>
      <c r="F138" s="320"/>
      <c r="G138" s="319"/>
    </row>
    <row r="139" spans="3:7" ht="12" customHeight="1">
      <c r="C139" s="320"/>
      <c r="D139" s="320"/>
      <c r="E139" s="320"/>
      <c r="F139" s="320"/>
      <c r="G139" s="319"/>
    </row>
    <row r="140" spans="3:7" ht="12" customHeight="1">
      <c r="C140" s="320"/>
      <c r="D140" s="320"/>
      <c r="E140" s="320"/>
      <c r="F140" s="320"/>
      <c r="G140" s="319"/>
    </row>
    <row r="141" spans="3:7" ht="12" customHeight="1">
      <c r="C141" s="320"/>
      <c r="D141" s="320"/>
      <c r="E141" s="320"/>
      <c r="F141" s="320"/>
      <c r="G141" s="319"/>
    </row>
    <row r="142" spans="3:7" ht="12" customHeight="1">
      <c r="C142" s="320"/>
      <c r="D142" s="320"/>
      <c r="E142" s="320"/>
      <c r="F142" s="320"/>
      <c r="G142" s="319"/>
    </row>
    <row r="143" spans="3:7" ht="12" customHeight="1">
      <c r="C143" s="320"/>
      <c r="D143" s="320"/>
      <c r="E143" s="320"/>
      <c r="F143" s="320"/>
      <c r="G143" s="319"/>
    </row>
    <row r="144" spans="3:7" ht="12" customHeight="1">
      <c r="C144" s="320"/>
      <c r="D144" s="320"/>
      <c r="E144" s="320"/>
      <c r="F144" s="320"/>
      <c r="G144" s="319"/>
    </row>
    <row r="145" spans="3:7" ht="12" customHeight="1">
      <c r="C145" s="320"/>
      <c r="D145" s="320"/>
      <c r="E145" s="320"/>
      <c r="F145" s="320"/>
      <c r="G145" s="319"/>
    </row>
    <row r="146" spans="3:7" ht="12" customHeight="1">
      <c r="C146" s="320"/>
      <c r="D146" s="320"/>
      <c r="E146" s="320"/>
      <c r="F146" s="320"/>
      <c r="G146" s="319"/>
    </row>
    <row r="147" spans="3:7" ht="12" customHeight="1">
      <c r="C147" s="320"/>
      <c r="D147" s="320"/>
      <c r="E147" s="320"/>
      <c r="F147" s="320"/>
      <c r="G147" s="319"/>
    </row>
    <row r="148" spans="3:7" ht="12" customHeight="1">
      <c r="C148" s="320"/>
      <c r="D148" s="320"/>
      <c r="E148" s="320"/>
      <c r="F148" s="320"/>
      <c r="G148" s="319"/>
    </row>
    <row r="149" spans="3:7" ht="12" customHeight="1">
      <c r="C149" s="320"/>
      <c r="D149" s="320"/>
      <c r="E149" s="320"/>
      <c r="F149" s="320"/>
      <c r="G149" s="319"/>
    </row>
    <row r="150" spans="3:7" ht="12" customHeight="1">
      <c r="C150" s="320"/>
      <c r="D150" s="320"/>
      <c r="E150" s="320"/>
      <c r="F150" s="320"/>
      <c r="G150" s="319"/>
    </row>
    <row r="151" spans="3:7" ht="12" customHeight="1">
      <c r="C151" s="320"/>
      <c r="D151" s="320"/>
      <c r="E151" s="320"/>
      <c r="F151" s="320"/>
      <c r="G151" s="319"/>
    </row>
    <row r="152" spans="3:7" ht="12" customHeight="1">
      <c r="C152" s="320"/>
      <c r="D152" s="320"/>
      <c r="E152" s="320"/>
      <c r="F152" s="320"/>
      <c r="G152" s="319"/>
    </row>
    <row r="153" spans="3:7" ht="12" customHeight="1">
      <c r="C153" s="320"/>
      <c r="D153" s="320"/>
      <c r="E153" s="320"/>
      <c r="F153" s="320"/>
      <c r="G153" s="319"/>
    </row>
    <row r="154" spans="3:7" ht="12" customHeight="1">
      <c r="C154" s="320"/>
      <c r="D154" s="320"/>
      <c r="E154" s="320"/>
      <c r="F154" s="320"/>
      <c r="G154" s="319"/>
    </row>
    <row r="155" spans="3:7" ht="12" customHeight="1">
      <c r="C155" s="320"/>
      <c r="D155" s="320"/>
      <c r="E155" s="320"/>
      <c r="F155" s="320"/>
      <c r="G155" s="319"/>
    </row>
    <row r="156" spans="3:7" ht="12" customHeight="1">
      <c r="C156" s="320"/>
      <c r="D156" s="320"/>
      <c r="E156" s="320"/>
      <c r="F156" s="320"/>
      <c r="G156" s="319"/>
    </row>
    <row r="157" spans="3:7" ht="12" customHeight="1">
      <c r="C157" s="320"/>
      <c r="D157" s="320"/>
      <c r="E157" s="320"/>
      <c r="F157" s="320"/>
      <c r="G157" s="319"/>
    </row>
    <row r="158" spans="3:7" ht="12" customHeight="1">
      <c r="C158" s="320"/>
      <c r="D158" s="320"/>
      <c r="E158" s="320"/>
      <c r="F158" s="320"/>
      <c r="G158" s="319"/>
    </row>
    <row r="159" spans="3:7" ht="12" customHeight="1">
      <c r="C159" s="320"/>
      <c r="D159" s="320"/>
      <c r="E159" s="320"/>
      <c r="F159" s="320"/>
      <c r="G159" s="319"/>
    </row>
    <row r="160" spans="3:7" ht="12" customHeight="1">
      <c r="C160" s="320"/>
      <c r="D160" s="320"/>
      <c r="E160" s="320"/>
      <c r="F160" s="320"/>
      <c r="G160" s="319"/>
    </row>
    <row r="161" spans="3:7" ht="12" customHeight="1">
      <c r="C161" s="320"/>
      <c r="D161" s="320"/>
      <c r="E161" s="320"/>
      <c r="F161" s="320"/>
      <c r="G161" s="319"/>
    </row>
    <row r="162" spans="3:7" ht="12" customHeight="1">
      <c r="C162" s="320"/>
      <c r="D162" s="320"/>
      <c r="E162" s="320"/>
      <c r="F162" s="320"/>
      <c r="G162" s="319"/>
    </row>
    <row r="163" spans="3:7" ht="12" customHeight="1">
      <c r="C163" s="320"/>
      <c r="D163" s="320"/>
      <c r="E163" s="320"/>
      <c r="F163" s="320"/>
      <c r="G163" s="319"/>
    </row>
    <row r="164" spans="3:7" ht="12" customHeight="1">
      <c r="C164" s="320"/>
      <c r="D164" s="320"/>
      <c r="E164" s="320"/>
      <c r="F164" s="320"/>
      <c r="G164" s="319"/>
    </row>
    <row r="165" spans="3:7" ht="12" customHeight="1">
      <c r="C165" s="320"/>
      <c r="D165" s="320"/>
      <c r="E165" s="320"/>
      <c r="F165" s="320"/>
      <c r="G165" s="319"/>
    </row>
    <row r="166" spans="3:7" ht="12" customHeight="1">
      <c r="C166" s="320"/>
      <c r="D166" s="320"/>
      <c r="E166" s="320"/>
      <c r="F166" s="320"/>
      <c r="G166" s="319"/>
    </row>
    <row r="167" spans="3:7" ht="12" customHeight="1">
      <c r="C167" s="320"/>
      <c r="D167" s="320"/>
      <c r="E167" s="320"/>
      <c r="F167" s="320"/>
      <c r="G167" s="319"/>
    </row>
    <row r="168" spans="3:7" ht="12" customHeight="1">
      <c r="C168" s="320"/>
      <c r="D168" s="320"/>
      <c r="E168" s="320"/>
      <c r="F168" s="320"/>
      <c r="G168" s="319"/>
    </row>
    <row r="169" spans="3:7" ht="12" customHeight="1">
      <c r="C169" s="320"/>
      <c r="D169" s="320"/>
      <c r="E169" s="320"/>
      <c r="F169" s="320"/>
      <c r="G169" s="319"/>
    </row>
    <row r="170" spans="3:7" ht="12" customHeight="1">
      <c r="C170" s="320"/>
      <c r="D170" s="320"/>
      <c r="E170" s="320"/>
      <c r="F170" s="320"/>
      <c r="G170" s="319"/>
    </row>
    <row r="171" spans="3:7" ht="12" customHeight="1">
      <c r="C171" s="320"/>
      <c r="D171" s="320"/>
      <c r="E171" s="320"/>
      <c r="F171" s="320"/>
      <c r="G171" s="319"/>
    </row>
    <row r="172" spans="3:7" ht="12" customHeight="1">
      <c r="C172" s="320"/>
      <c r="D172" s="320"/>
      <c r="E172" s="320"/>
      <c r="F172" s="320"/>
      <c r="G172" s="319"/>
    </row>
    <row r="173" spans="3:7" ht="12" customHeight="1">
      <c r="C173" s="320"/>
      <c r="D173" s="320"/>
      <c r="E173" s="320"/>
      <c r="F173" s="320"/>
      <c r="G173" s="319"/>
    </row>
    <row r="174" spans="3:7" ht="12" customHeight="1">
      <c r="C174" s="320"/>
      <c r="D174" s="320"/>
      <c r="E174" s="320"/>
      <c r="F174" s="320"/>
      <c r="G174" s="319"/>
    </row>
    <row r="175" spans="3:7" ht="12" customHeight="1">
      <c r="C175" s="320"/>
      <c r="D175" s="320"/>
      <c r="E175" s="320"/>
      <c r="F175" s="320"/>
      <c r="G175" s="319"/>
    </row>
    <row r="176" spans="3:7" ht="12" customHeight="1">
      <c r="C176" s="320"/>
      <c r="D176" s="320"/>
      <c r="E176" s="320"/>
      <c r="F176" s="320"/>
      <c r="G176" s="319"/>
    </row>
    <row r="177" spans="3:7" ht="12" customHeight="1">
      <c r="C177" s="320"/>
      <c r="D177" s="320"/>
      <c r="E177" s="320"/>
      <c r="F177" s="320"/>
      <c r="G177" s="319"/>
    </row>
    <row r="178" spans="3:7" ht="12" customHeight="1">
      <c r="C178" s="320"/>
      <c r="D178" s="320"/>
      <c r="E178" s="320"/>
      <c r="F178" s="320"/>
      <c r="G178" s="319"/>
    </row>
    <row r="179" spans="3:7" ht="12" customHeight="1">
      <c r="C179" s="320"/>
      <c r="D179" s="320"/>
      <c r="E179" s="320"/>
      <c r="F179" s="320"/>
      <c r="G179" s="319"/>
    </row>
    <row r="180" spans="3:7" ht="12" customHeight="1">
      <c r="C180" s="320"/>
      <c r="D180" s="320"/>
      <c r="E180" s="320"/>
      <c r="F180" s="320"/>
      <c r="G180" s="319"/>
    </row>
    <row r="181" spans="3:7" ht="12" customHeight="1">
      <c r="C181" s="320"/>
      <c r="D181" s="320"/>
      <c r="E181" s="320"/>
      <c r="F181" s="320"/>
      <c r="G181" s="319"/>
    </row>
    <row r="182" spans="3:7" ht="12" customHeight="1">
      <c r="C182" s="320"/>
      <c r="D182" s="320"/>
      <c r="E182" s="320"/>
      <c r="F182" s="320"/>
      <c r="G182" s="319"/>
    </row>
    <row r="183" spans="3:7" ht="12" customHeight="1">
      <c r="C183" s="320"/>
      <c r="D183" s="320"/>
      <c r="E183" s="320"/>
      <c r="F183" s="320"/>
      <c r="G183" s="319"/>
    </row>
    <row r="184" spans="3:7" ht="12" customHeight="1">
      <c r="C184" s="320"/>
      <c r="D184" s="320"/>
      <c r="E184" s="320"/>
      <c r="F184" s="320"/>
      <c r="G184" s="319"/>
    </row>
    <row r="185" spans="3:7" ht="12" customHeight="1">
      <c r="C185" s="320"/>
      <c r="D185" s="320"/>
      <c r="E185" s="320"/>
      <c r="F185" s="320"/>
      <c r="G185" s="319"/>
    </row>
    <row r="186" spans="3:7" ht="12" customHeight="1">
      <c r="C186" s="320"/>
      <c r="D186" s="320"/>
      <c r="E186" s="320"/>
      <c r="F186" s="320"/>
      <c r="G186" s="319"/>
    </row>
    <row r="187" spans="3:7" ht="12" customHeight="1">
      <c r="C187" s="320"/>
      <c r="D187" s="320"/>
      <c r="E187" s="320"/>
      <c r="F187" s="320"/>
      <c r="G187" s="319"/>
    </row>
    <row r="188" spans="3:7" ht="12" customHeight="1">
      <c r="C188" s="320"/>
      <c r="D188" s="320"/>
      <c r="E188" s="320"/>
      <c r="F188" s="320"/>
      <c r="G188" s="319"/>
    </row>
    <row r="189" spans="3:7" ht="12" customHeight="1">
      <c r="C189" s="320"/>
      <c r="D189" s="320"/>
      <c r="E189" s="320"/>
      <c r="F189" s="320"/>
      <c r="G189" s="319"/>
    </row>
    <row r="190" spans="3:7" ht="12" customHeight="1">
      <c r="C190" s="320"/>
      <c r="D190" s="320"/>
      <c r="E190" s="320"/>
      <c r="F190" s="320"/>
      <c r="G190" s="319"/>
    </row>
    <row r="191" spans="3:7" ht="12" customHeight="1">
      <c r="C191" s="320"/>
      <c r="D191" s="320"/>
      <c r="E191" s="320"/>
      <c r="F191" s="320"/>
      <c r="G191" s="319"/>
    </row>
    <row r="192" spans="3:7" ht="12" customHeight="1">
      <c r="C192" s="320"/>
      <c r="D192" s="320"/>
      <c r="E192" s="320"/>
      <c r="F192" s="320"/>
      <c r="G192" s="319"/>
    </row>
    <row r="193" spans="3:7" ht="12" customHeight="1">
      <c r="C193" s="320"/>
      <c r="D193" s="320"/>
      <c r="E193" s="320"/>
      <c r="F193" s="320"/>
      <c r="G193" s="319"/>
    </row>
    <row r="194" spans="3:7" ht="12" customHeight="1">
      <c r="C194" s="320"/>
      <c r="D194" s="320"/>
      <c r="E194" s="320"/>
      <c r="F194" s="320"/>
      <c r="G194" s="319"/>
    </row>
    <row r="195" spans="3:7" ht="12" customHeight="1">
      <c r="C195" s="320"/>
      <c r="D195" s="320"/>
      <c r="E195" s="320"/>
      <c r="F195" s="320"/>
      <c r="G195" s="319"/>
    </row>
    <row r="196" spans="3:7" ht="12" customHeight="1">
      <c r="C196" s="320"/>
      <c r="D196" s="320"/>
      <c r="E196" s="320"/>
      <c r="F196" s="320"/>
      <c r="G196" s="319"/>
    </row>
    <row r="197" spans="3:7" ht="12" customHeight="1">
      <c r="C197" s="320"/>
      <c r="D197" s="320"/>
      <c r="E197" s="320"/>
      <c r="F197" s="320"/>
      <c r="G197" s="319"/>
    </row>
    <row r="198" spans="3:7" ht="12" customHeight="1">
      <c r="C198" s="320"/>
      <c r="D198" s="320"/>
      <c r="E198" s="320"/>
      <c r="F198" s="320"/>
      <c r="G198" s="319"/>
    </row>
    <row r="199" spans="3:7" ht="12" customHeight="1">
      <c r="C199" s="320"/>
      <c r="D199" s="320"/>
      <c r="E199" s="320"/>
      <c r="F199" s="320"/>
      <c r="G199" s="319"/>
    </row>
    <row r="200" spans="3:7" ht="12" customHeight="1">
      <c r="C200" s="320"/>
      <c r="D200" s="320"/>
      <c r="E200" s="320"/>
      <c r="F200" s="320"/>
      <c r="G200" s="319"/>
    </row>
    <row r="201" spans="3:7" ht="12" customHeight="1">
      <c r="C201" s="320"/>
      <c r="D201" s="320"/>
      <c r="E201" s="320"/>
      <c r="F201" s="320"/>
      <c r="G201" s="319"/>
    </row>
    <row r="202" spans="3:7" ht="12" customHeight="1">
      <c r="C202" s="320"/>
      <c r="D202" s="320"/>
      <c r="E202" s="320"/>
      <c r="F202" s="320"/>
      <c r="G202" s="319"/>
    </row>
    <row r="203" spans="3:7" ht="12" customHeight="1">
      <c r="C203" s="320"/>
      <c r="D203" s="320"/>
      <c r="E203" s="320"/>
      <c r="F203" s="320"/>
      <c r="G203" s="319"/>
    </row>
    <row r="204" spans="3:7" ht="12" customHeight="1">
      <c r="C204" s="320"/>
      <c r="D204" s="320"/>
      <c r="E204" s="320"/>
      <c r="F204" s="320"/>
      <c r="G204" s="319"/>
    </row>
    <row r="205" spans="3:7" ht="12" customHeight="1">
      <c r="C205" s="320"/>
      <c r="D205" s="320"/>
      <c r="E205" s="320"/>
      <c r="F205" s="320"/>
      <c r="G205" s="319"/>
    </row>
    <row r="206" spans="3:7" ht="12" customHeight="1">
      <c r="C206" s="320"/>
      <c r="D206" s="320"/>
      <c r="E206" s="320"/>
      <c r="F206" s="320"/>
      <c r="G206" s="319"/>
    </row>
    <row r="207" spans="3:7" ht="12" customHeight="1">
      <c r="C207" s="320"/>
      <c r="D207" s="320"/>
      <c r="E207" s="320"/>
      <c r="F207" s="320"/>
      <c r="G207" s="319"/>
    </row>
    <row r="208" spans="3:7" ht="12" customHeight="1">
      <c r="C208" s="320"/>
      <c r="D208" s="320"/>
      <c r="E208" s="320"/>
      <c r="F208" s="320"/>
      <c r="G208" s="319"/>
    </row>
    <row r="209" spans="3:7" ht="12" customHeight="1">
      <c r="C209" s="320"/>
      <c r="D209" s="320"/>
      <c r="E209" s="320"/>
      <c r="F209" s="320"/>
      <c r="G209" s="319"/>
    </row>
    <row r="210" spans="3:7" ht="12" customHeight="1">
      <c r="C210" s="320"/>
      <c r="D210" s="320"/>
      <c r="E210" s="320"/>
      <c r="F210" s="320"/>
      <c r="G210" s="319"/>
    </row>
    <row r="211" spans="3:7" ht="12" customHeight="1">
      <c r="C211" s="320"/>
      <c r="D211" s="320"/>
      <c r="E211" s="320"/>
      <c r="F211" s="320"/>
      <c r="G211" s="319"/>
    </row>
    <row r="212" spans="3:7" ht="12" customHeight="1">
      <c r="C212" s="320"/>
      <c r="D212" s="320"/>
      <c r="E212" s="320"/>
      <c r="F212" s="320"/>
      <c r="G212" s="319"/>
    </row>
    <row r="213" spans="3:7" ht="12" customHeight="1">
      <c r="C213" s="320"/>
      <c r="D213" s="320"/>
      <c r="E213" s="320"/>
      <c r="F213" s="320"/>
      <c r="G213" s="319"/>
    </row>
    <row r="214" spans="3:7" ht="12" customHeight="1">
      <c r="C214" s="320"/>
      <c r="D214" s="320"/>
      <c r="E214" s="320"/>
      <c r="F214" s="320"/>
      <c r="G214" s="319"/>
    </row>
    <row r="215" spans="3:7" ht="12" customHeight="1">
      <c r="C215" s="320"/>
      <c r="D215" s="320"/>
      <c r="E215" s="320"/>
      <c r="F215" s="320"/>
      <c r="G215" s="319"/>
    </row>
    <row r="216" spans="3:7" ht="12" customHeight="1">
      <c r="C216" s="320"/>
      <c r="D216" s="320"/>
      <c r="E216" s="320"/>
      <c r="F216" s="320"/>
      <c r="G216" s="319"/>
    </row>
    <row r="217" spans="3:7" ht="12" customHeight="1">
      <c r="C217" s="320"/>
      <c r="D217" s="320"/>
      <c r="E217" s="320"/>
      <c r="F217" s="320"/>
      <c r="G217" s="319"/>
    </row>
    <row r="218" spans="3:7" ht="12" customHeight="1">
      <c r="C218" s="320"/>
      <c r="D218" s="320"/>
      <c r="E218" s="320"/>
      <c r="F218" s="320"/>
      <c r="G218" s="319"/>
    </row>
    <row r="219" spans="3:7" ht="12" customHeight="1">
      <c r="C219" s="320"/>
      <c r="D219" s="320"/>
      <c r="E219" s="320"/>
      <c r="F219" s="320"/>
      <c r="G219" s="319"/>
    </row>
    <row r="220" spans="3:7" ht="12" customHeight="1">
      <c r="C220" s="320"/>
      <c r="D220" s="320"/>
      <c r="E220" s="320"/>
      <c r="F220" s="320"/>
      <c r="G220" s="319"/>
    </row>
    <row r="221" spans="3:7" ht="12" customHeight="1">
      <c r="C221" s="320"/>
      <c r="D221" s="320"/>
      <c r="E221" s="320"/>
      <c r="F221" s="320"/>
      <c r="G221" s="319"/>
    </row>
    <row r="222" spans="3:7" ht="12" customHeight="1">
      <c r="C222" s="320"/>
      <c r="D222" s="320"/>
      <c r="E222" s="320"/>
      <c r="F222" s="320"/>
      <c r="G222" s="319"/>
    </row>
    <row r="223" spans="3:7" ht="12" customHeight="1">
      <c r="C223" s="320"/>
      <c r="D223" s="320"/>
      <c r="E223" s="320"/>
      <c r="F223" s="320"/>
      <c r="G223" s="319"/>
    </row>
    <row r="224" spans="3:7" ht="12" customHeight="1">
      <c r="C224" s="320"/>
      <c r="D224" s="320"/>
      <c r="E224" s="320"/>
      <c r="F224" s="320"/>
      <c r="G224" s="319"/>
    </row>
    <row r="225" spans="3:7" ht="12" customHeight="1">
      <c r="C225" s="320"/>
      <c r="D225" s="320"/>
      <c r="E225" s="320"/>
      <c r="F225" s="320"/>
      <c r="G225" s="319"/>
    </row>
  </sheetData>
  <mergeCells count="72">
    <mergeCell ref="J105:J106"/>
    <mergeCell ref="K105:K106"/>
    <mergeCell ref="K107:K120"/>
    <mergeCell ref="A121:I121"/>
    <mergeCell ref="A103:B103"/>
    <mergeCell ref="D103:E103"/>
    <mergeCell ref="A105:A106"/>
    <mergeCell ref="B105:B106"/>
    <mergeCell ref="C105:C106"/>
    <mergeCell ref="D105:D106"/>
    <mergeCell ref="E105:G105"/>
    <mergeCell ref="H105:H106"/>
    <mergeCell ref="H85:H86"/>
    <mergeCell ref="J85:J86"/>
    <mergeCell ref="K85:K86"/>
    <mergeCell ref="K87:K100"/>
    <mergeCell ref="A101:I101"/>
    <mergeCell ref="A83:B83"/>
    <mergeCell ref="D83:E83"/>
    <mergeCell ref="A85:A86"/>
    <mergeCell ref="B85:B86"/>
    <mergeCell ref="C85:C86"/>
    <mergeCell ref="D85:D86"/>
    <mergeCell ref="E85:G85"/>
    <mergeCell ref="H65:H66"/>
    <mergeCell ref="J65:J66"/>
    <mergeCell ref="K65:K66"/>
    <mergeCell ref="K67:K80"/>
    <mergeCell ref="A81:I81"/>
    <mergeCell ref="A63:B63"/>
    <mergeCell ref="D63:E63"/>
    <mergeCell ref="A65:A66"/>
    <mergeCell ref="B65:B66"/>
    <mergeCell ref="C65:C66"/>
    <mergeCell ref="D65:D66"/>
    <mergeCell ref="E65:G65"/>
    <mergeCell ref="H45:H46"/>
    <mergeCell ref="J45:J46"/>
    <mergeCell ref="K45:K46"/>
    <mergeCell ref="K47:K60"/>
    <mergeCell ref="A61:I61"/>
    <mergeCell ref="A43:B43"/>
    <mergeCell ref="D43:E43"/>
    <mergeCell ref="A45:A46"/>
    <mergeCell ref="B45:B46"/>
    <mergeCell ref="C45:C46"/>
    <mergeCell ref="D45:D46"/>
    <mergeCell ref="E45:G45"/>
    <mergeCell ref="K27:K40"/>
    <mergeCell ref="A41:I41"/>
    <mergeCell ref="A25:A26"/>
    <mergeCell ref="B25:B26"/>
    <mergeCell ref="C25:C26"/>
    <mergeCell ref="D25:D26"/>
    <mergeCell ref="E25:G25"/>
    <mergeCell ref="A23:B23"/>
    <mergeCell ref="D23:E23"/>
    <mergeCell ref="H25:H26"/>
    <mergeCell ref="J25:J26"/>
    <mergeCell ref="K25:K26"/>
    <mergeCell ref="J5:J6"/>
    <mergeCell ref="K5:K6"/>
    <mergeCell ref="K7:K20"/>
    <mergeCell ref="A21:I21"/>
    <mergeCell ref="A3:B3"/>
    <mergeCell ref="A5:A6"/>
    <mergeCell ref="B5:B6"/>
    <mergeCell ref="C5:C6"/>
    <mergeCell ref="D5:D6"/>
    <mergeCell ref="E5:G5"/>
    <mergeCell ref="D3:E3"/>
    <mergeCell ref="H5:H6"/>
  </mergeCells>
  <phoneticPr fontId="2" type="noConversion"/>
  <dataValidations disablePrompts="1" count="1">
    <dataValidation type="list" allowBlank="1" showInputMessage="1" showErrorMessage="1" sqref="I7:I20 I27:I40 I47:I60 I67:I80 I87:I100 I107:I120">
      <formula1>$S$9:$S$10</formula1>
    </dataValidation>
  </dataValidations>
  <pageMargins left="0.74803149606299213" right="0.74803149606299213" top="0.78740157480314965" bottom="0.78740157480314965" header="0.51181102362204722" footer="0.51181102362204722"/>
  <pageSetup paperSize="9" scale="87" fitToHeight="3" orientation="landscape" r:id="rId1"/>
  <headerFooter alignWithMargins="0"/>
  <rowBreaks count="5" manualBreakCount="5">
    <brk id="21" max="10" man="1"/>
    <brk id="42" max="10" man="1"/>
    <brk id="62" max="10" man="1"/>
    <brk id="82" max="10" man="1"/>
    <brk id="102" max="10" man="1"/>
  </rowBreaks>
  <legacy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43"/>
  </sheetPr>
  <dimension ref="A1:S220"/>
  <sheetViews>
    <sheetView view="pageBreakPreview" zoomScaleNormal="85" zoomScaleSheetLayoutView="100" workbookViewId="0">
      <pane xSplit="3" topLeftCell="D1" activePane="topRight" state="frozen"/>
      <selection activeCell="I42" sqref="I42"/>
      <selection pane="topRight" activeCell="K6" sqref="K6:K19"/>
    </sheetView>
  </sheetViews>
  <sheetFormatPr defaultRowHeight="12" customHeight="1"/>
  <cols>
    <col min="1" max="1" width="3.77734375" style="318" customWidth="1"/>
    <col min="2" max="2" width="31.21875" style="324" customWidth="1"/>
    <col min="3" max="3" width="26.77734375" style="324" customWidth="1"/>
    <col min="4" max="4" width="10.21875" style="324" customWidth="1"/>
    <col min="5" max="6" width="10.33203125" style="324" bestFit="1" customWidth="1"/>
    <col min="7" max="7" width="6.5546875" style="325" customWidth="1"/>
    <col min="8" max="8" width="8.33203125" style="319" customWidth="1"/>
    <col min="9" max="9" width="8.77734375" style="321" customWidth="1"/>
    <col min="10" max="10" width="8.33203125" style="322" customWidth="1"/>
    <col min="11" max="11" width="5.33203125" style="323" customWidth="1"/>
    <col min="12" max="16384" width="8.88671875" style="323"/>
  </cols>
  <sheetData>
    <row r="1" spans="1:19" ht="26.25" customHeight="1">
      <c r="A1" s="323"/>
      <c r="B1" s="326" t="s">
        <v>212</v>
      </c>
      <c r="C1" s="319"/>
      <c r="D1" s="319"/>
      <c r="E1" s="319"/>
      <c r="F1" s="319"/>
      <c r="G1" s="319"/>
    </row>
    <row r="2" spans="1:19" ht="15.75" customHeight="1">
      <c r="A2" s="323"/>
      <c r="B2" s="319"/>
      <c r="C2" s="319"/>
      <c r="D2" s="319"/>
      <c r="E2" s="319"/>
      <c r="F2" s="319"/>
      <c r="G2" s="319"/>
    </row>
    <row r="3" spans="1:19" s="279" customFormat="1" ht="23.25" customHeight="1" thickBot="1">
      <c r="A3" s="995" t="str">
        <f>배점기준!C3</f>
        <v>대기관리</v>
      </c>
      <c r="B3" s="996"/>
      <c r="C3" s="327" t="s">
        <v>233</v>
      </c>
      <c r="D3" s="997" t="s">
        <v>2</v>
      </c>
      <c r="E3" s="998"/>
      <c r="F3" s="275"/>
      <c r="G3" s="275"/>
      <c r="H3" s="275"/>
      <c r="I3" s="276"/>
      <c r="J3" s="277"/>
      <c r="K3" s="278"/>
    </row>
    <row r="4" spans="1:19" s="286" customFormat="1" ht="24.95" customHeight="1">
      <c r="A4" s="987" t="s">
        <v>6</v>
      </c>
      <c r="B4" s="989" t="s">
        <v>7</v>
      </c>
      <c r="C4" s="980" t="s">
        <v>8</v>
      </c>
      <c r="D4" s="980" t="s">
        <v>253</v>
      </c>
      <c r="E4" s="991" t="s">
        <v>384</v>
      </c>
      <c r="F4" s="992"/>
      <c r="G4" s="992"/>
      <c r="H4" s="976" t="s">
        <v>482</v>
      </c>
      <c r="I4" s="285" t="s">
        <v>483</v>
      </c>
      <c r="J4" s="978" t="s">
        <v>386</v>
      </c>
      <c r="K4" s="982" t="s">
        <v>9</v>
      </c>
    </row>
    <row r="5" spans="1:19" s="286" customFormat="1" ht="24.95" customHeight="1">
      <c r="A5" s="988"/>
      <c r="B5" s="990"/>
      <c r="C5" s="981"/>
      <c r="D5" s="981"/>
      <c r="E5" s="287" t="s">
        <v>387</v>
      </c>
      <c r="F5" s="287" t="s">
        <v>388</v>
      </c>
      <c r="G5" s="288" t="s">
        <v>179</v>
      </c>
      <c r="H5" s="977"/>
      <c r="I5" s="143" t="s">
        <v>215</v>
      </c>
      <c r="J5" s="979"/>
      <c r="K5" s="983"/>
    </row>
    <row r="6" spans="1:19" s="296" customFormat="1" ht="24.95" customHeight="1">
      <c r="A6" s="289">
        <v>1</v>
      </c>
      <c r="B6" s="290" t="s">
        <v>172</v>
      </c>
      <c r="C6" s="290" t="s">
        <v>4</v>
      </c>
      <c r="D6" s="291" t="s">
        <v>10</v>
      </c>
      <c r="E6" s="292">
        <v>34645</v>
      </c>
      <c r="F6" s="292">
        <v>36522</v>
      </c>
      <c r="G6" s="293">
        <f>F6-E6+1</f>
        <v>1878</v>
      </c>
      <c r="H6" s="294"/>
      <c r="I6" s="295">
        <v>1</v>
      </c>
      <c r="J6" s="333">
        <f>ROUND(H6*I6,0)</f>
        <v>0</v>
      </c>
      <c r="K6" s="984"/>
    </row>
    <row r="7" spans="1:19" s="298" customFormat="1" ht="24.95" customHeight="1">
      <c r="A7" s="297">
        <v>2</v>
      </c>
      <c r="B7" s="290" t="s">
        <v>173</v>
      </c>
      <c r="C7" s="290" t="s">
        <v>4</v>
      </c>
      <c r="D7" s="291" t="s">
        <v>10</v>
      </c>
      <c r="E7" s="292">
        <v>34692</v>
      </c>
      <c r="F7" s="292">
        <v>37063</v>
      </c>
      <c r="G7" s="293">
        <f t="shared" ref="G7:G19" si="0">F7-E7+1</f>
        <v>2372</v>
      </c>
      <c r="H7" s="294"/>
      <c r="I7" s="295">
        <v>0.6</v>
      </c>
      <c r="J7" s="333">
        <f t="shared" ref="J7:J19" si="1">ROUND(H7*I7,0)</f>
        <v>0</v>
      </c>
      <c r="K7" s="985"/>
      <c r="S7" s="299" t="s">
        <v>251</v>
      </c>
    </row>
    <row r="8" spans="1:19" s="298" customFormat="1" ht="24.95" customHeight="1">
      <c r="A8" s="297">
        <v>3</v>
      </c>
      <c r="B8" s="290" t="s">
        <v>174</v>
      </c>
      <c r="C8" s="290" t="s">
        <v>4</v>
      </c>
      <c r="D8" s="291" t="s">
        <v>10</v>
      </c>
      <c r="E8" s="292">
        <v>34967</v>
      </c>
      <c r="F8" s="292">
        <v>36871</v>
      </c>
      <c r="G8" s="293">
        <f t="shared" si="0"/>
        <v>1905</v>
      </c>
      <c r="H8" s="294"/>
      <c r="I8" s="295">
        <v>1</v>
      </c>
      <c r="J8" s="333">
        <f t="shared" si="1"/>
        <v>0</v>
      </c>
      <c r="K8" s="985"/>
      <c r="S8" s="300">
        <v>1</v>
      </c>
    </row>
    <row r="9" spans="1:19" s="298" customFormat="1" ht="24.95" customHeight="1">
      <c r="A9" s="297">
        <v>4</v>
      </c>
      <c r="B9" s="290" t="s">
        <v>175</v>
      </c>
      <c r="C9" s="290" t="s">
        <v>4</v>
      </c>
      <c r="D9" s="291" t="s">
        <v>10</v>
      </c>
      <c r="E9" s="292">
        <v>36194</v>
      </c>
      <c r="F9" s="292">
        <v>37008</v>
      </c>
      <c r="G9" s="293">
        <f t="shared" si="0"/>
        <v>815</v>
      </c>
      <c r="H9" s="294"/>
      <c r="I9" s="295">
        <v>0.6</v>
      </c>
      <c r="J9" s="333">
        <f t="shared" si="1"/>
        <v>0</v>
      </c>
      <c r="K9" s="985"/>
      <c r="S9" s="300">
        <v>0.6</v>
      </c>
    </row>
    <row r="10" spans="1:19" s="298" customFormat="1" ht="24.95" customHeight="1">
      <c r="A10" s="297">
        <v>5</v>
      </c>
      <c r="B10" s="290" t="s">
        <v>11</v>
      </c>
      <c r="C10" s="290" t="s">
        <v>4</v>
      </c>
      <c r="D10" s="291" t="s">
        <v>10</v>
      </c>
      <c r="E10" s="292">
        <v>37369</v>
      </c>
      <c r="F10" s="292">
        <v>37954</v>
      </c>
      <c r="G10" s="293">
        <f t="shared" si="0"/>
        <v>586</v>
      </c>
      <c r="H10" s="294"/>
      <c r="I10" s="295">
        <v>1</v>
      </c>
      <c r="J10" s="333">
        <f t="shared" si="1"/>
        <v>0</v>
      </c>
      <c r="K10" s="985"/>
    </row>
    <row r="11" spans="1:19" s="296" customFormat="1" ht="24.95" customHeight="1">
      <c r="A11" s="297">
        <v>7</v>
      </c>
      <c r="B11" s="290" t="s">
        <v>176</v>
      </c>
      <c r="C11" s="290" t="s">
        <v>4</v>
      </c>
      <c r="D11" s="291" t="s">
        <v>10</v>
      </c>
      <c r="E11" s="292">
        <v>37673</v>
      </c>
      <c r="F11" s="292">
        <v>38929</v>
      </c>
      <c r="G11" s="293">
        <f t="shared" si="0"/>
        <v>1257</v>
      </c>
      <c r="H11" s="294"/>
      <c r="I11" s="295">
        <v>0.6</v>
      </c>
      <c r="J11" s="333">
        <f t="shared" si="1"/>
        <v>0</v>
      </c>
      <c r="K11" s="985"/>
    </row>
    <row r="12" spans="1:19" s="296" customFormat="1" ht="24.95" customHeight="1">
      <c r="A12" s="297">
        <v>8</v>
      </c>
      <c r="B12" s="290" t="s">
        <v>177</v>
      </c>
      <c r="C12" s="290" t="s">
        <v>4</v>
      </c>
      <c r="D12" s="291" t="s">
        <v>10</v>
      </c>
      <c r="E12" s="292">
        <v>38240</v>
      </c>
      <c r="F12" s="292">
        <v>39562</v>
      </c>
      <c r="G12" s="293">
        <f t="shared" si="0"/>
        <v>1323</v>
      </c>
      <c r="H12" s="294"/>
      <c r="I12" s="295">
        <v>1</v>
      </c>
      <c r="J12" s="333">
        <f t="shared" si="1"/>
        <v>0</v>
      </c>
      <c r="K12" s="985"/>
    </row>
    <row r="13" spans="1:19" s="296" customFormat="1" ht="24.95" customHeight="1">
      <c r="A13" s="297">
        <v>9</v>
      </c>
      <c r="B13" s="290" t="s">
        <v>12</v>
      </c>
      <c r="C13" s="290" t="s">
        <v>4</v>
      </c>
      <c r="D13" s="291" t="s">
        <v>10</v>
      </c>
      <c r="E13" s="292">
        <v>38078</v>
      </c>
      <c r="F13" s="292">
        <v>38660</v>
      </c>
      <c r="G13" s="293">
        <f t="shared" si="0"/>
        <v>583</v>
      </c>
      <c r="H13" s="294"/>
      <c r="I13" s="295">
        <v>0.6</v>
      </c>
      <c r="J13" s="333">
        <f t="shared" si="1"/>
        <v>0</v>
      </c>
      <c r="K13" s="985"/>
    </row>
    <row r="14" spans="1:19" s="296" customFormat="1" ht="24.95" customHeight="1">
      <c r="A14" s="297">
        <v>10</v>
      </c>
      <c r="B14" s="290" t="s">
        <v>13</v>
      </c>
      <c r="C14" s="290" t="s">
        <v>4</v>
      </c>
      <c r="D14" s="291" t="s">
        <v>10</v>
      </c>
      <c r="E14" s="301">
        <v>38127</v>
      </c>
      <c r="F14" s="301">
        <v>38717</v>
      </c>
      <c r="G14" s="293">
        <f t="shared" si="0"/>
        <v>591</v>
      </c>
      <c r="H14" s="294"/>
      <c r="I14" s="295">
        <v>1</v>
      </c>
      <c r="J14" s="333">
        <f t="shared" si="1"/>
        <v>0</v>
      </c>
      <c r="K14" s="985"/>
    </row>
    <row r="15" spans="1:19" s="296" customFormat="1" ht="24.95" customHeight="1">
      <c r="A15" s="297">
        <v>11</v>
      </c>
      <c r="B15" s="290" t="s">
        <v>14</v>
      </c>
      <c r="C15" s="290" t="s">
        <v>4</v>
      </c>
      <c r="D15" s="291" t="s">
        <v>10</v>
      </c>
      <c r="E15" s="301">
        <v>38098</v>
      </c>
      <c r="F15" s="292">
        <v>38717</v>
      </c>
      <c r="G15" s="293">
        <f t="shared" si="0"/>
        <v>620</v>
      </c>
      <c r="H15" s="294"/>
      <c r="I15" s="295">
        <v>0.6</v>
      </c>
      <c r="J15" s="333">
        <f t="shared" si="1"/>
        <v>0</v>
      </c>
      <c r="K15" s="985"/>
    </row>
    <row r="16" spans="1:19" s="296" customFormat="1" ht="24.95" customHeight="1">
      <c r="A16" s="297">
        <v>12</v>
      </c>
      <c r="B16" s="290" t="s">
        <v>15</v>
      </c>
      <c r="C16" s="290" t="s">
        <v>4</v>
      </c>
      <c r="D16" s="291" t="s">
        <v>10</v>
      </c>
      <c r="E16" s="301">
        <v>37376</v>
      </c>
      <c r="F16" s="301">
        <v>38730</v>
      </c>
      <c r="G16" s="293">
        <f t="shared" si="0"/>
        <v>1355</v>
      </c>
      <c r="H16" s="294"/>
      <c r="I16" s="295">
        <v>1</v>
      </c>
      <c r="J16" s="333">
        <f t="shared" si="1"/>
        <v>0</v>
      </c>
      <c r="K16" s="985"/>
    </row>
    <row r="17" spans="1:19" s="296" customFormat="1" ht="24.95" customHeight="1">
      <c r="A17" s="297">
        <v>13</v>
      </c>
      <c r="B17" s="290" t="s">
        <v>16</v>
      </c>
      <c r="C17" s="290" t="s">
        <v>4</v>
      </c>
      <c r="D17" s="291" t="s">
        <v>10</v>
      </c>
      <c r="E17" s="301">
        <v>38750</v>
      </c>
      <c r="F17" s="292">
        <v>39082</v>
      </c>
      <c r="G17" s="293">
        <f t="shared" si="0"/>
        <v>333</v>
      </c>
      <c r="H17" s="294"/>
      <c r="I17" s="295">
        <v>0.6</v>
      </c>
      <c r="J17" s="333">
        <f t="shared" si="1"/>
        <v>0</v>
      </c>
      <c r="K17" s="985"/>
    </row>
    <row r="18" spans="1:19" s="296" customFormat="1" ht="24.95" customHeight="1">
      <c r="A18" s="297">
        <v>15</v>
      </c>
      <c r="B18" s="290" t="s">
        <v>178</v>
      </c>
      <c r="C18" s="290" t="s">
        <v>4</v>
      </c>
      <c r="D18" s="291" t="s">
        <v>10</v>
      </c>
      <c r="E18" s="301">
        <v>37435</v>
      </c>
      <c r="F18" s="292">
        <v>39414</v>
      </c>
      <c r="G18" s="293">
        <f t="shared" si="0"/>
        <v>1980</v>
      </c>
      <c r="H18" s="294"/>
      <c r="I18" s="295">
        <v>1</v>
      </c>
      <c r="J18" s="333">
        <f t="shared" si="1"/>
        <v>0</v>
      </c>
      <c r="K18" s="985"/>
    </row>
    <row r="19" spans="1:19" s="296" customFormat="1" ht="24.95" customHeight="1">
      <c r="A19" s="297">
        <v>16</v>
      </c>
      <c r="B19" s="290" t="s">
        <v>17</v>
      </c>
      <c r="C19" s="290" t="s">
        <v>4</v>
      </c>
      <c r="D19" s="291" t="s">
        <v>10</v>
      </c>
      <c r="E19" s="301">
        <v>38834</v>
      </c>
      <c r="F19" s="301">
        <v>39482</v>
      </c>
      <c r="G19" s="293">
        <f t="shared" si="0"/>
        <v>649</v>
      </c>
      <c r="H19" s="294"/>
      <c r="I19" s="295">
        <v>1</v>
      </c>
      <c r="J19" s="333">
        <f t="shared" si="1"/>
        <v>0</v>
      </c>
      <c r="K19" s="985"/>
    </row>
    <row r="20" spans="1:19" s="298" customFormat="1" ht="24.95" customHeight="1" thickBot="1">
      <c r="A20" s="993" t="s">
        <v>5</v>
      </c>
      <c r="B20" s="994"/>
      <c r="C20" s="994"/>
      <c r="D20" s="994"/>
      <c r="E20" s="994"/>
      <c r="F20" s="994"/>
      <c r="G20" s="994"/>
      <c r="H20" s="994"/>
      <c r="I20" s="994"/>
      <c r="J20" s="302">
        <f>ROUND((SUM(J6:J19))/365,2)</f>
        <v>0</v>
      </c>
      <c r="K20" s="303"/>
    </row>
    <row r="21" spans="1:19" s="298" customFormat="1" ht="24.95" customHeight="1">
      <c r="A21" s="328"/>
      <c r="B21" s="328"/>
      <c r="C21" s="328"/>
      <c r="D21" s="328"/>
      <c r="E21" s="328"/>
      <c r="F21" s="328"/>
      <c r="G21" s="328"/>
      <c r="H21" s="328"/>
      <c r="I21" s="328"/>
      <c r="J21" s="329"/>
    </row>
    <row r="22" spans="1:19" s="279" customFormat="1" ht="23.25" customHeight="1" thickBot="1">
      <c r="A22" s="995" t="str">
        <f>배점기준!C4</f>
        <v>수질관리</v>
      </c>
      <c r="B22" s="996"/>
      <c r="C22" s="327" t="s">
        <v>233</v>
      </c>
      <c r="D22" s="997" t="s">
        <v>2</v>
      </c>
      <c r="E22" s="998"/>
      <c r="F22" s="275"/>
      <c r="G22" s="275"/>
      <c r="H22" s="275"/>
      <c r="I22" s="276"/>
      <c r="J22" s="277"/>
      <c r="K22" s="278"/>
    </row>
    <row r="23" spans="1:19" s="286" customFormat="1" ht="24.95" customHeight="1">
      <c r="A23" s="987" t="s">
        <v>6</v>
      </c>
      <c r="B23" s="989" t="s">
        <v>7</v>
      </c>
      <c r="C23" s="980" t="s">
        <v>8</v>
      </c>
      <c r="D23" s="980" t="s">
        <v>253</v>
      </c>
      <c r="E23" s="991" t="s">
        <v>384</v>
      </c>
      <c r="F23" s="992"/>
      <c r="G23" s="992"/>
      <c r="H23" s="976" t="s">
        <v>482</v>
      </c>
      <c r="I23" s="285" t="s">
        <v>483</v>
      </c>
      <c r="J23" s="978" t="s">
        <v>386</v>
      </c>
      <c r="K23" s="982" t="s">
        <v>9</v>
      </c>
    </row>
    <row r="24" spans="1:19" s="286" customFormat="1" ht="24.95" customHeight="1">
      <c r="A24" s="988"/>
      <c r="B24" s="990"/>
      <c r="C24" s="981"/>
      <c r="D24" s="981"/>
      <c r="E24" s="287" t="s">
        <v>387</v>
      </c>
      <c r="F24" s="287" t="s">
        <v>388</v>
      </c>
      <c r="G24" s="288" t="s">
        <v>179</v>
      </c>
      <c r="H24" s="977"/>
      <c r="I24" s="143" t="s">
        <v>215</v>
      </c>
      <c r="J24" s="979"/>
      <c r="K24" s="983"/>
    </row>
    <row r="25" spans="1:19" s="296" customFormat="1" ht="24.95" customHeight="1">
      <c r="A25" s="289">
        <v>1</v>
      </c>
      <c r="B25" s="290" t="s">
        <v>172</v>
      </c>
      <c r="C25" s="290" t="s">
        <v>4</v>
      </c>
      <c r="D25" s="291" t="s">
        <v>10</v>
      </c>
      <c r="E25" s="292">
        <v>34645</v>
      </c>
      <c r="F25" s="292">
        <v>36522</v>
      </c>
      <c r="G25" s="293">
        <f>F25-E25+1</f>
        <v>1878</v>
      </c>
      <c r="H25" s="294"/>
      <c r="I25" s="295">
        <v>0.6</v>
      </c>
      <c r="J25" s="333">
        <f t="shared" ref="J25:J38" si="2">ROUND(H25*I25,0)</f>
        <v>0</v>
      </c>
      <c r="K25" s="984"/>
    </row>
    <row r="26" spans="1:19" s="298" customFormat="1" ht="24.95" customHeight="1">
      <c r="A26" s="297">
        <v>2</v>
      </c>
      <c r="B26" s="290" t="s">
        <v>173</v>
      </c>
      <c r="C26" s="290" t="s">
        <v>4</v>
      </c>
      <c r="D26" s="291" t="s">
        <v>10</v>
      </c>
      <c r="E26" s="292">
        <v>34692</v>
      </c>
      <c r="F26" s="292">
        <v>37063</v>
      </c>
      <c r="G26" s="293">
        <f t="shared" ref="G26:G38" si="3">F26-E26+1</f>
        <v>2372</v>
      </c>
      <c r="H26" s="294"/>
      <c r="I26" s="295">
        <v>0.6</v>
      </c>
      <c r="J26" s="333">
        <f t="shared" si="2"/>
        <v>0</v>
      </c>
      <c r="K26" s="985"/>
      <c r="S26" s="299" t="s">
        <v>251</v>
      </c>
    </row>
    <row r="27" spans="1:19" s="298" customFormat="1" ht="24.95" customHeight="1">
      <c r="A27" s="297">
        <v>3</v>
      </c>
      <c r="B27" s="290" t="s">
        <v>174</v>
      </c>
      <c r="C27" s="290" t="s">
        <v>4</v>
      </c>
      <c r="D27" s="291" t="s">
        <v>10</v>
      </c>
      <c r="E27" s="292">
        <v>34967</v>
      </c>
      <c r="F27" s="292">
        <v>36871</v>
      </c>
      <c r="G27" s="293">
        <f t="shared" si="3"/>
        <v>1905</v>
      </c>
      <c r="H27" s="294"/>
      <c r="I27" s="295">
        <v>1</v>
      </c>
      <c r="J27" s="333">
        <f t="shared" si="2"/>
        <v>0</v>
      </c>
      <c r="K27" s="985"/>
      <c r="S27" s="300">
        <v>1</v>
      </c>
    </row>
    <row r="28" spans="1:19" s="298" customFormat="1" ht="24.95" customHeight="1">
      <c r="A28" s="297">
        <v>4</v>
      </c>
      <c r="B28" s="290" t="s">
        <v>175</v>
      </c>
      <c r="C28" s="290" t="s">
        <v>4</v>
      </c>
      <c r="D28" s="291" t="s">
        <v>10</v>
      </c>
      <c r="E28" s="292">
        <v>36194</v>
      </c>
      <c r="F28" s="292">
        <v>37008</v>
      </c>
      <c r="G28" s="293">
        <f t="shared" si="3"/>
        <v>815</v>
      </c>
      <c r="H28" s="294"/>
      <c r="I28" s="295">
        <v>0.6</v>
      </c>
      <c r="J28" s="333">
        <f t="shared" si="2"/>
        <v>0</v>
      </c>
      <c r="K28" s="985"/>
      <c r="S28" s="300">
        <v>0.6</v>
      </c>
    </row>
    <row r="29" spans="1:19" s="298" customFormat="1" ht="24.95" customHeight="1">
      <c r="A29" s="297">
        <v>5</v>
      </c>
      <c r="B29" s="290" t="s">
        <v>11</v>
      </c>
      <c r="C29" s="290" t="s">
        <v>4</v>
      </c>
      <c r="D29" s="291" t="s">
        <v>10</v>
      </c>
      <c r="E29" s="292">
        <v>37369</v>
      </c>
      <c r="F29" s="292">
        <v>37954</v>
      </c>
      <c r="G29" s="293">
        <f t="shared" si="3"/>
        <v>586</v>
      </c>
      <c r="H29" s="294"/>
      <c r="I29" s="295">
        <v>1</v>
      </c>
      <c r="J29" s="333">
        <f t="shared" si="2"/>
        <v>0</v>
      </c>
      <c r="K29" s="985"/>
    </row>
    <row r="30" spans="1:19" s="296" customFormat="1" ht="24.95" customHeight="1">
      <c r="A30" s="297">
        <v>7</v>
      </c>
      <c r="B30" s="290" t="s">
        <v>176</v>
      </c>
      <c r="C30" s="290" t="s">
        <v>4</v>
      </c>
      <c r="D30" s="291" t="s">
        <v>10</v>
      </c>
      <c r="E30" s="292">
        <v>37673</v>
      </c>
      <c r="F30" s="292">
        <v>38929</v>
      </c>
      <c r="G30" s="293">
        <f t="shared" si="3"/>
        <v>1257</v>
      </c>
      <c r="H30" s="294"/>
      <c r="I30" s="295">
        <v>0.6</v>
      </c>
      <c r="J30" s="333">
        <f t="shared" si="2"/>
        <v>0</v>
      </c>
      <c r="K30" s="985"/>
    </row>
    <row r="31" spans="1:19" s="296" customFormat="1" ht="24.95" customHeight="1">
      <c r="A31" s="297">
        <v>8</v>
      </c>
      <c r="B31" s="290" t="s">
        <v>177</v>
      </c>
      <c r="C31" s="290" t="s">
        <v>4</v>
      </c>
      <c r="D31" s="291" t="s">
        <v>10</v>
      </c>
      <c r="E31" s="292">
        <v>38240</v>
      </c>
      <c r="F31" s="292">
        <v>39562</v>
      </c>
      <c r="G31" s="293">
        <f t="shared" si="3"/>
        <v>1323</v>
      </c>
      <c r="H31" s="294"/>
      <c r="I31" s="295">
        <v>1</v>
      </c>
      <c r="J31" s="333">
        <f t="shared" si="2"/>
        <v>0</v>
      </c>
      <c r="K31" s="985"/>
    </row>
    <row r="32" spans="1:19" s="296" customFormat="1" ht="24.95" customHeight="1">
      <c r="A32" s="297">
        <v>9</v>
      </c>
      <c r="B32" s="290" t="s">
        <v>12</v>
      </c>
      <c r="C32" s="290" t="s">
        <v>4</v>
      </c>
      <c r="D32" s="291" t="s">
        <v>10</v>
      </c>
      <c r="E32" s="292">
        <v>38078</v>
      </c>
      <c r="F32" s="292">
        <v>38660</v>
      </c>
      <c r="G32" s="293">
        <f t="shared" si="3"/>
        <v>583</v>
      </c>
      <c r="H32" s="294"/>
      <c r="I32" s="295">
        <v>0.6</v>
      </c>
      <c r="J32" s="333">
        <f t="shared" si="2"/>
        <v>0</v>
      </c>
      <c r="K32" s="985"/>
    </row>
    <row r="33" spans="1:19" s="296" customFormat="1" ht="24.95" customHeight="1">
      <c r="A33" s="297">
        <v>10</v>
      </c>
      <c r="B33" s="290" t="s">
        <v>13</v>
      </c>
      <c r="C33" s="290" t="s">
        <v>4</v>
      </c>
      <c r="D33" s="291" t="s">
        <v>10</v>
      </c>
      <c r="E33" s="301">
        <v>38127</v>
      </c>
      <c r="F33" s="301">
        <v>38717</v>
      </c>
      <c r="G33" s="293">
        <f t="shared" si="3"/>
        <v>591</v>
      </c>
      <c r="H33" s="294"/>
      <c r="I33" s="295">
        <v>1</v>
      </c>
      <c r="J33" s="333">
        <f t="shared" si="2"/>
        <v>0</v>
      </c>
      <c r="K33" s="985"/>
    </row>
    <row r="34" spans="1:19" s="296" customFormat="1" ht="24.95" customHeight="1">
      <c r="A34" s="297">
        <v>11</v>
      </c>
      <c r="B34" s="290" t="s">
        <v>14</v>
      </c>
      <c r="C34" s="290" t="s">
        <v>4</v>
      </c>
      <c r="D34" s="291" t="s">
        <v>10</v>
      </c>
      <c r="E34" s="301">
        <v>38098</v>
      </c>
      <c r="F34" s="292">
        <v>38717</v>
      </c>
      <c r="G34" s="293">
        <f t="shared" si="3"/>
        <v>620</v>
      </c>
      <c r="H34" s="294"/>
      <c r="I34" s="295">
        <v>0.6</v>
      </c>
      <c r="J34" s="333">
        <f t="shared" si="2"/>
        <v>0</v>
      </c>
      <c r="K34" s="985"/>
    </row>
    <row r="35" spans="1:19" s="296" customFormat="1" ht="24.95" customHeight="1">
      <c r="A35" s="297">
        <v>12</v>
      </c>
      <c r="B35" s="290" t="s">
        <v>15</v>
      </c>
      <c r="C35" s="290" t="s">
        <v>4</v>
      </c>
      <c r="D35" s="291" t="s">
        <v>10</v>
      </c>
      <c r="E35" s="301">
        <v>37376</v>
      </c>
      <c r="F35" s="301">
        <v>38730</v>
      </c>
      <c r="G35" s="293">
        <f t="shared" si="3"/>
        <v>1355</v>
      </c>
      <c r="H35" s="294"/>
      <c r="I35" s="295">
        <v>1</v>
      </c>
      <c r="J35" s="333">
        <f t="shared" si="2"/>
        <v>0</v>
      </c>
      <c r="K35" s="985"/>
    </row>
    <row r="36" spans="1:19" s="296" customFormat="1" ht="24.95" customHeight="1">
      <c r="A36" s="297">
        <v>13</v>
      </c>
      <c r="B36" s="290" t="s">
        <v>16</v>
      </c>
      <c r="C36" s="290" t="s">
        <v>4</v>
      </c>
      <c r="D36" s="291" t="s">
        <v>10</v>
      </c>
      <c r="E36" s="301">
        <v>38750</v>
      </c>
      <c r="F36" s="292">
        <v>39082</v>
      </c>
      <c r="G36" s="293">
        <f t="shared" si="3"/>
        <v>333</v>
      </c>
      <c r="H36" s="294"/>
      <c r="I36" s="295">
        <v>0.6</v>
      </c>
      <c r="J36" s="333">
        <f t="shared" si="2"/>
        <v>0</v>
      </c>
      <c r="K36" s="985"/>
    </row>
    <row r="37" spans="1:19" s="296" customFormat="1" ht="24.95" customHeight="1">
      <c r="A37" s="297">
        <v>15</v>
      </c>
      <c r="B37" s="290" t="s">
        <v>178</v>
      </c>
      <c r="C37" s="290" t="s">
        <v>4</v>
      </c>
      <c r="D37" s="291" t="s">
        <v>10</v>
      </c>
      <c r="E37" s="301">
        <v>37435</v>
      </c>
      <c r="F37" s="292">
        <v>39414</v>
      </c>
      <c r="G37" s="293">
        <f t="shared" si="3"/>
        <v>1980</v>
      </c>
      <c r="H37" s="294"/>
      <c r="I37" s="295">
        <v>1</v>
      </c>
      <c r="J37" s="333">
        <f t="shared" si="2"/>
        <v>0</v>
      </c>
      <c r="K37" s="985"/>
    </row>
    <row r="38" spans="1:19" s="296" customFormat="1" ht="24.95" customHeight="1">
      <c r="A38" s="297">
        <v>16</v>
      </c>
      <c r="B38" s="290" t="s">
        <v>17</v>
      </c>
      <c r="C38" s="290" t="s">
        <v>4</v>
      </c>
      <c r="D38" s="291" t="s">
        <v>10</v>
      </c>
      <c r="E38" s="301">
        <v>38834</v>
      </c>
      <c r="F38" s="301">
        <v>39482</v>
      </c>
      <c r="G38" s="293">
        <f t="shared" si="3"/>
        <v>649</v>
      </c>
      <c r="H38" s="294"/>
      <c r="I38" s="295">
        <v>1</v>
      </c>
      <c r="J38" s="333">
        <f t="shared" si="2"/>
        <v>0</v>
      </c>
      <c r="K38" s="985"/>
    </row>
    <row r="39" spans="1:19" s="298" customFormat="1" ht="24.95" customHeight="1" thickBot="1">
      <c r="A39" s="993" t="s">
        <v>5</v>
      </c>
      <c r="B39" s="994"/>
      <c r="C39" s="994"/>
      <c r="D39" s="994"/>
      <c r="E39" s="994"/>
      <c r="F39" s="994"/>
      <c r="G39" s="994"/>
      <c r="H39" s="994"/>
      <c r="I39" s="994"/>
      <c r="J39" s="302">
        <f>ROUND((SUM(J25:J38))/365,2)</f>
        <v>0</v>
      </c>
      <c r="K39" s="303"/>
    </row>
    <row r="40" spans="1:19" s="298" customFormat="1" ht="24.95" customHeight="1">
      <c r="A40" s="328"/>
      <c r="B40" s="328"/>
      <c r="C40" s="328"/>
      <c r="D40" s="328"/>
      <c r="E40" s="328"/>
      <c r="F40" s="328"/>
      <c r="G40" s="328"/>
      <c r="H40" s="328"/>
      <c r="I40" s="328"/>
      <c r="J40" s="329"/>
    </row>
    <row r="41" spans="1:19" s="279" customFormat="1" ht="23.25" customHeight="1" thickBot="1">
      <c r="A41" s="995" t="str">
        <f>배점기준!C5</f>
        <v>소음진동</v>
      </c>
      <c r="B41" s="996"/>
      <c r="C41" s="327" t="s">
        <v>233</v>
      </c>
      <c r="D41" s="997" t="s">
        <v>2</v>
      </c>
      <c r="E41" s="998"/>
      <c r="F41" s="275"/>
      <c r="G41" s="275"/>
      <c r="H41" s="275"/>
      <c r="I41" s="276"/>
      <c r="J41" s="277"/>
      <c r="K41" s="278"/>
    </row>
    <row r="42" spans="1:19" s="286" customFormat="1" ht="24.95" customHeight="1">
      <c r="A42" s="987" t="s">
        <v>6</v>
      </c>
      <c r="B42" s="989" t="s">
        <v>7</v>
      </c>
      <c r="C42" s="980" t="s">
        <v>8</v>
      </c>
      <c r="D42" s="980" t="s">
        <v>253</v>
      </c>
      <c r="E42" s="991" t="s">
        <v>384</v>
      </c>
      <c r="F42" s="992"/>
      <c r="G42" s="992"/>
      <c r="H42" s="976" t="s">
        <v>482</v>
      </c>
      <c r="I42" s="285" t="s">
        <v>483</v>
      </c>
      <c r="J42" s="978" t="s">
        <v>386</v>
      </c>
      <c r="K42" s="982" t="s">
        <v>9</v>
      </c>
    </row>
    <row r="43" spans="1:19" s="286" customFormat="1" ht="24.95" customHeight="1">
      <c r="A43" s="988"/>
      <c r="B43" s="990"/>
      <c r="C43" s="981"/>
      <c r="D43" s="981"/>
      <c r="E43" s="287" t="s">
        <v>387</v>
      </c>
      <c r="F43" s="287" t="s">
        <v>388</v>
      </c>
      <c r="G43" s="288" t="s">
        <v>179</v>
      </c>
      <c r="H43" s="977"/>
      <c r="I43" s="143" t="s">
        <v>215</v>
      </c>
      <c r="J43" s="979"/>
      <c r="K43" s="983"/>
    </row>
    <row r="44" spans="1:19" s="296" customFormat="1" ht="24.95" customHeight="1">
      <c r="A44" s="289">
        <v>1</v>
      </c>
      <c r="B44" s="290" t="s">
        <v>172</v>
      </c>
      <c r="C44" s="290" t="s">
        <v>4</v>
      </c>
      <c r="D44" s="291" t="s">
        <v>10</v>
      </c>
      <c r="E44" s="292">
        <v>34645</v>
      </c>
      <c r="F44" s="292">
        <v>36522</v>
      </c>
      <c r="G44" s="293">
        <f>F44-E44+1</f>
        <v>1878</v>
      </c>
      <c r="H44" s="294"/>
      <c r="I44" s="295">
        <v>1</v>
      </c>
      <c r="J44" s="333">
        <f t="shared" ref="J44:J57" si="4">ROUND(H44*I44,0)</f>
        <v>0</v>
      </c>
      <c r="K44" s="984"/>
    </row>
    <row r="45" spans="1:19" s="298" customFormat="1" ht="24.95" customHeight="1">
      <c r="A45" s="297">
        <v>2</v>
      </c>
      <c r="B45" s="290" t="s">
        <v>173</v>
      </c>
      <c r="C45" s="290" t="s">
        <v>4</v>
      </c>
      <c r="D45" s="291" t="s">
        <v>10</v>
      </c>
      <c r="E45" s="292">
        <v>34692</v>
      </c>
      <c r="F45" s="292">
        <v>37063</v>
      </c>
      <c r="G45" s="293">
        <f t="shared" ref="G45:G57" si="5">F45-E45+1</f>
        <v>2372</v>
      </c>
      <c r="H45" s="294"/>
      <c r="I45" s="295">
        <v>0.6</v>
      </c>
      <c r="J45" s="333">
        <f t="shared" si="4"/>
        <v>0</v>
      </c>
      <c r="K45" s="985"/>
      <c r="S45" s="299" t="s">
        <v>251</v>
      </c>
    </row>
    <row r="46" spans="1:19" s="298" customFormat="1" ht="24.95" customHeight="1">
      <c r="A46" s="297">
        <v>3</v>
      </c>
      <c r="B46" s="290" t="s">
        <v>174</v>
      </c>
      <c r="C46" s="290" t="s">
        <v>4</v>
      </c>
      <c r="D46" s="291" t="s">
        <v>10</v>
      </c>
      <c r="E46" s="292">
        <v>34967</v>
      </c>
      <c r="F46" s="292">
        <v>36871</v>
      </c>
      <c r="G46" s="293">
        <f t="shared" si="5"/>
        <v>1905</v>
      </c>
      <c r="H46" s="294"/>
      <c r="I46" s="295">
        <v>1</v>
      </c>
      <c r="J46" s="333">
        <f t="shared" si="4"/>
        <v>0</v>
      </c>
      <c r="K46" s="985"/>
      <c r="S46" s="300">
        <v>1</v>
      </c>
    </row>
    <row r="47" spans="1:19" s="298" customFormat="1" ht="24.95" customHeight="1">
      <c r="A47" s="297">
        <v>4</v>
      </c>
      <c r="B47" s="290" t="s">
        <v>175</v>
      </c>
      <c r="C47" s="290" t="s">
        <v>4</v>
      </c>
      <c r="D47" s="291" t="s">
        <v>10</v>
      </c>
      <c r="E47" s="292">
        <v>36194</v>
      </c>
      <c r="F47" s="292">
        <v>37008</v>
      </c>
      <c r="G47" s="293">
        <f t="shared" si="5"/>
        <v>815</v>
      </c>
      <c r="H47" s="294"/>
      <c r="I47" s="295">
        <v>0.6</v>
      </c>
      <c r="J47" s="333">
        <f t="shared" si="4"/>
        <v>0</v>
      </c>
      <c r="K47" s="985"/>
      <c r="S47" s="300">
        <v>0.6</v>
      </c>
    </row>
    <row r="48" spans="1:19" s="298" customFormat="1" ht="24.95" customHeight="1">
      <c r="A48" s="297">
        <v>5</v>
      </c>
      <c r="B48" s="290" t="s">
        <v>11</v>
      </c>
      <c r="C48" s="290" t="s">
        <v>4</v>
      </c>
      <c r="D48" s="291" t="s">
        <v>10</v>
      </c>
      <c r="E48" s="292">
        <v>37369</v>
      </c>
      <c r="F48" s="292">
        <v>37954</v>
      </c>
      <c r="G48" s="293">
        <f t="shared" si="5"/>
        <v>586</v>
      </c>
      <c r="H48" s="294"/>
      <c r="I48" s="295">
        <v>1</v>
      </c>
      <c r="J48" s="333">
        <f t="shared" si="4"/>
        <v>0</v>
      </c>
      <c r="K48" s="985"/>
    </row>
    <row r="49" spans="1:19" s="296" customFormat="1" ht="24.95" customHeight="1">
      <c r="A49" s="297">
        <v>7</v>
      </c>
      <c r="B49" s="290" t="s">
        <v>176</v>
      </c>
      <c r="C49" s="290" t="s">
        <v>4</v>
      </c>
      <c r="D49" s="291" t="s">
        <v>10</v>
      </c>
      <c r="E49" s="292">
        <v>37673</v>
      </c>
      <c r="F49" s="292">
        <v>38929</v>
      </c>
      <c r="G49" s="293">
        <f t="shared" si="5"/>
        <v>1257</v>
      </c>
      <c r="H49" s="294"/>
      <c r="I49" s="295">
        <v>0.6</v>
      </c>
      <c r="J49" s="333">
        <f t="shared" si="4"/>
        <v>0</v>
      </c>
      <c r="K49" s="985"/>
    </row>
    <row r="50" spans="1:19" s="296" customFormat="1" ht="24.95" customHeight="1">
      <c r="A50" s="297">
        <v>8</v>
      </c>
      <c r="B50" s="290" t="s">
        <v>177</v>
      </c>
      <c r="C50" s="290" t="s">
        <v>4</v>
      </c>
      <c r="D50" s="291" t="s">
        <v>10</v>
      </c>
      <c r="E50" s="292">
        <v>38240</v>
      </c>
      <c r="F50" s="292">
        <v>39562</v>
      </c>
      <c r="G50" s="293">
        <f t="shared" si="5"/>
        <v>1323</v>
      </c>
      <c r="H50" s="294"/>
      <c r="I50" s="295">
        <v>1</v>
      </c>
      <c r="J50" s="333">
        <f t="shared" si="4"/>
        <v>0</v>
      </c>
      <c r="K50" s="985"/>
    </row>
    <row r="51" spans="1:19" s="296" customFormat="1" ht="24.95" customHeight="1">
      <c r="A51" s="297">
        <v>9</v>
      </c>
      <c r="B51" s="290" t="s">
        <v>12</v>
      </c>
      <c r="C51" s="290" t="s">
        <v>4</v>
      </c>
      <c r="D51" s="291" t="s">
        <v>10</v>
      </c>
      <c r="E51" s="292">
        <v>38078</v>
      </c>
      <c r="F51" s="292">
        <v>38660</v>
      </c>
      <c r="G51" s="293">
        <f t="shared" si="5"/>
        <v>583</v>
      </c>
      <c r="H51" s="294"/>
      <c r="I51" s="295">
        <v>0.6</v>
      </c>
      <c r="J51" s="333">
        <f t="shared" si="4"/>
        <v>0</v>
      </c>
      <c r="K51" s="985"/>
    </row>
    <row r="52" spans="1:19" s="296" customFormat="1" ht="24.95" customHeight="1">
      <c r="A52" s="297">
        <v>10</v>
      </c>
      <c r="B52" s="290" t="s">
        <v>13</v>
      </c>
      <c r="C52" s="290" t="s">
        <v>4</v>
      </c>
      <c r="D52" s="291" t="s">
        <v>10</v>
      </c>
      <c r="E52" s="301">
        <v>38127</v>
      </c>
      <c r="F52" s="301">
        <v>38717</v>
      </c>
      <c r="G52" s="293">
        <f t="shared" si="5"/>
        <v>591</v>
      </c>
      <c r="H52" s="294"/>
      <c r="I52" s="295">
        <v>1</v>
      </c>
      <c r="J52" s="333">
        <f t="shared" si="4"/>
        <v>0</v>
      </c>
      <c r="K52" s="985"/>
    </row>
    <row r="53" spans="1:19" s="296" customFormat="1" ht="24.95" customHeight="1">
      <c r="A53" s="297">
        <v>11</v>
      </c>
      <c r="B53" s="290" t="s">
        <v>14</v>
      </c>
      <c r="C53" s="290" t="s">
        <v>4</v>
      </c>
      <c r="D53" s="291" t="s">
        <v>10</v>
      </c>
      <c r="E53" s="301">
        <v>38098</v>
      </c>
      <c r="F53" s="292">
        <v>38717</v>
      </c>
      <c r="G53" s="293">
        <f t="shared" si="5"/>
        <v>620</v>
      </c>
      <c r="H53" s="294"/>
      <c r="I53" s="295">
        <v>0.6</v>
      </c>
      <c r="J53" s="333">
        <f t="shared" si="4"/>
        <v>0</v>
      </c>
      <c r="K53" s="985"/>
    </row>
    <row r="54" spans="1:19" s="296" customFormat="1" ht="24.95" customHeight="1">
      <c r="A54" s="297">
        <v>12</v>
      </c>
      <c r="B54" s="290" t="s">
        <v>15</v>
      </c>
      <c r="C54" s="290" t="s">
        <v>4</v>
      </c>
      <c r="D54" s="291" t="s">
        <v>10</v>
      </c>
      <c r="E54" s="301">
        <v>37376</v>
      </c>
      <c r="F54" s="301">
        <v>38730</v>
      </c>
      <c r="G54" s="293">
        <f t="shared" si="5"/>
        <v>1355</v>
      </c>
      <c r="H54" s="294"/>
      <c r="I54" s="295">
        <v>1</v>
      </c>
      <c r="J54" s="333">
        <f t="shared" si="4"/>
        <v>0</v>
      </c>
      <c r="K54" s="985"/>
    </row>
    <row r="55" spans="1:19" s="296" customFormat="1" ht="24.95" customHeight="1">
      <c r="A55" s="297">
        <v>13</v>
      </c>
      <c r="B55" s="290" t="s">
        <v>16</v>
      </c>
      <c r="C55" s="290" t="s">
        <v>4</v>
      </c>
      <c r="D55" s="291" t="s">
        <v>10</v>
      </c>
      <c r="E55" s="301">
        <v>38750</v>
      </c>
      <c r="F55" s="292">
        <v>39082</v>
      </c>
      <c r="G55" s="293">
        <f t="shared" si="5"/>
        <v>333</v>
      </c>
      <c r="H55" s="294"/>
      <c r="I55" s="295">
        <v>0.6</v>
      </c>
      <c r="J55" s="333">
        <f t="shared" si="4"/>
        <v>0</v>
      </c>
      <c r="K55" s="985"/>
    </row>
    <row r="56" spans="1:19" s="296" customFormat="1" ht="24.95" customHeight="1">
      <c r="A56" s="297">
        <v>15</v>
      </c>
      <c r="B56" s="290" t="s">
        <v>178</v>
      </c>
      <c r="C56" s="290" t="s">
        <v>4</v>
      </c>
      <c r="D56" s="291" t="s">
        <v>10</v>
      </c>
      <c r="E56" s="301">
        <v>37435</v>
      </c>
      <c r="F56" s="292">
        <v>39414</v>
      </c>
      <c r="G56" s="293">
        <f t="shared" si="5"/>
        <v>1980</v>
      </c>
      <c r="H56" s="294"/>
      <c r="I56" s="295">
        <v>1</v>
      </c>
      <c r="J56" s="333">
        <f t="shared" si="4"/>
        <v>0</v>
      </c>
      <c r="K56" s="985"/>
    </row>
    <row r="57" spans="1:19" s="296" customFormat="1" ht="24.95" customHeight="1">
      <c r="A57" s="297">
        <v>16</v>
      </c>
      <c r="B57" s="290" t="s">
        <v>17</v>
      </c>
      <c r="C57" s="290" t="s">
        <v>4</v>
      </c>
      <c r="D57" s="291" t="s">
        <v>10</v>
      </c>
      <c r="E57" s="301">
        <v>38834</v>
      </c>
      <c r="F57" s="301">
        <v>39482</v>
      </c>
      <c r="G57" s="293">
        <f t="shared" si="5"/>
        <v>649</v>
      </c>
      <c r="H57" s="294"/>
      <c r="I57" s="295">
        <v>1</v>
      </c>
      <c r="J57" s="333">
        <f t="shared" si="4"/>
        <v>0</v>
      </c>
      <c r="K57" s="985"/>
    </row>
    <row r="58" spans="1:19" s="298" customFormat="1" ht="24.95" customHeight="1" thickBot="1">
      <c r="A58" s="993" t="s">
        <v>5</v>
      </c>
      <c r="B58" s="994"/>
      <c r="C58" s="994"/>
      <c r="D58" s="994"/>
      <c r="E58" s="994"/>
      <c r="F58" s="994"/>
      <c r="G58" s="994"/>
      <c r="H58" s="994"/>
      <c r="I58" s="994"/>
      <c r="J58" s="302">
        <f>ROUND((SUM(J44:J57))/365,2)</f>
        <v>0</v>
      </c>
      <c r="K58" s="303"/>
    </row>
    <row r="59" spans="1:19" s="298" customFormat="1" ht="24.95" customHeight="1">
      <c r="A59" s="328"/>
      <c r="B59" s="328"/>
      <c r="C59" s="328"/>
      <c r="D59" s="328"/>
      <c r="E59" s="328"/>
      <c r="F59" s="328"/>
      <c r="G59" s="328"/>
      <c r="H59" s="328"/>
      <c r="I59" s="328"/>
      <c r="J59" s="329"/>
    </row>
    <row r="60" spans="1:19" s="279" customFormat="1" ht="23.25" customHeight="1" thickBot="1">
      <c r="A60" s="995" t="str">
        <f>배점기준!C6</f>
        <v>폐기물처리</v>
      </c>
      <c r="B60" s="996"/>
      <c r="C60" s="327" t="s">
        <v>233</v>
      </c>
      <c r="D60" s="997" t="s">
        <v>2</v>
      </c>
      <c r="E60" s="998"/>
      <c r="F60" s="275"/>
      <c r="G60" s="275"/>
      <c r="H60" s="275"/>
      <c r="I60" s="276"/>
      <c r="J60" s="277"/>
      <c r="K60" s="278"/>
    </row>
    <row r="61" spans="1:19" s="286" customFormat="1" ht="24.95" customHeight="1">
      <c r="A61" s="987" t="s">
        <v>6</v>
      </c>
      <c r="B61" s="989" t="s">
        <v>7</v>
      </c>
      <c r="C61" s="980" t="s">
        <v>8</v>
      </c>
      <c r="D61" s="980" t="s">
        <v>253</v>
      </c>
      <c r="E61" s="991" t="s">
        <v>384</v>
      </c>
      <c r="F61" s="992"/>
      <c r="G61" s="992"/>
      <c r="H61" s="976" t="s">
        <v>482</v>
      </c>
      <c r="I61" s="285" t="s">
        <v>483</v>
      </c>
      <c r="J61" s="978" t="s">
        <v>386</v>
      </c>
      <c r="K61" s="982" t="s">
        <v>9</v>
      </c>
    </row>
    <row r="62" spans="1:19" s="286" customFormat="1" ht="24.95" customHeight="1">
      <c r="A62" s="988"/>
      <c r="B62" s="990"/>
      <c r="C62" s="981"/>
      <c r="D62" s="981"/>
      <c r="E62" s="287" t="s">
        <v>387</v>
      </c>
      <c r="F62" s="287" t="s">
        <v>388</v>
      </c>
      <c r="G62" s="288" t="s">
        <v>179</v>
      </c>
      <c r="H62" s="977"/>
      <c r="I62" s="143" t="s">
        <v>215</v>
      </c>
      <c r="J62" s="979"/>
      <c r="K62" s="983"/>
    </row>
    <row r="63" spans="1:19" s="296" customFormat="1" ht="24.95" customHeight="1">
      <c r="A63" s="289">
        <v>1</v>
      </c>
      <c r="B63" s="290" t="s">
        <v>172</v>
      </c>
      <c r="C63" s="290" t="s">
        <v>4</v>
      </c>
      <c r="D63" s="291" t="s">
        <v>10</v>
      </c>
      <c r="E63" s="292">
        <v>34645</v>
      </c>
      <c r="F63" s="292">
        <v>36522</v>
      </c>
      <c r="G63" s="293">
        <f>F63-E63+1</f>
        <v>1878</v>
      </c>
      <c r="H63" s="294"/>
      <c r="I63" s="295">
        <v>1</v>
      </c>
      <c r="J63" s="333">
        <f t="shared" ref="J63:J76" si="6">ROUND(H63*I63,0)</f>
        <v>0</v>
      </c>
      <c r="K63" s="984"/>
    </row>
    <row r="64" spans="1:19" s="298" customFormat="1" ht="24.95" customHeight="1">
      <c r="A64" s="297">
        <v>2</v>
      </c>
      <c r="B64" s="290" t="s">
        <v>173</v>
      </c>
      <c r="C64" s="290" t="s">
        <v>4</v>
      </c>
      <c r="D64" s="291" t="s">
        <v>10</v>
      </c>
      <c r="E64" s="292">
        <v>34692</v>
      </c>
      <c r="F64" s="292">
        <v>37063</v>
      </c>
      <c r="G64" s="293">
        <f t="shared" ref="G64:G76" si="7">F64-E64+1</f>
        <v>2372</v>
      </c>
      <c r="H64" s="294"/>
      <c r="I64" s="295">
        <v>0.6</v>
      </c>
      <c r="J64" s="333">
        <f t="shared" si="6"/>
        <v>0</v>
      </c>
      <c r="K64" s="985"/>
      <c r="S64" s="299" t="s">
        <v>251</v>
      </c>
    </row>
    <row r="65" spans="1:19" s="298" customFormat="1" ht="24.95" customHeight="1">
      <c r="A65" s="297">
        <v>3</v>
      </c>
      <c r="B65" s="290" t="s">
        <v>174</v>
      </c>
      <c r="C65" s="290" t="s">
        <v>4</v>
      </c>
      <c r="D65" s="291" t="s">
        <v>10</v>
      </c>
      <c r="E65" s="292">
        <v>34967</v>
      </c>
      <c r="F65" s="292">
        <v>36871</v>
      </c>
      <c r="G65" s="293">
        <f t="shared" si="7"/>
        <v>1905</v>
      </c>
      <c r="H65" s="294"/>
      <c r="I65" s="295">
        <v>1</v>
      </c>
      <c r="J65" s="333">
        <f t="shared" si="6"/>
        <v>0</v>
      </c>
      <c r="K65" s="985"/>
      <c r="S65" s="300">
        <v>1</v>
      </c>
    </row>
    <row r="66" spans="1:19" s="298" customFormat="1" ht="24.95" customHeight="1">
      <c r="A66" s="297">
        <v>4</v>
      </c>
      <c r="B66" s="290" t="s">
        <v>175</v>
      </c>
      <c r="C66" s="290" t="s">
        <v>4</v>
      </c>
      <c r="D66" s="291" t="s">
        <v>10</v>
      </c>
      <c r="E66" s="292">
        <v>36194</v>
      </c>
      <c r="F66" s="292">
        <v>37008</v>
      </c>
      <c r="G66" s="293">
        <f t="shared" si="7"/>
        <v>815</v>
      </c>
      <c r="H66" s="294"/>
      <c r="I66" s="295">
        <v>0.6</v>
      </c>
      <c r="J66" s="333">
        <f t="shared" si="6"/>
        <v>0</v>
      </c>
      <c r="K66" s="985"/>
      <c r="S66" s="300">
        <v>0.6</v>
      </c>
    </row>
    <row r="67" spans="1:19" s="298" customFormat="1" ht="24.95" customHeight="1">
      <c r="A67" s="297">
        <v>5</v>
      </c>
      <c r="B67" s="290" t="s">
        <v>11</v>
      </c>
      <c r="C67" s="290" t="s">
        <v>4</v>
      </c>
      <c r="D67" s="291" t="s">
        <v>10</v>
      </c>
      <c r="E67" s="292">
        <v>37369</v>
      </c>
      <c r="F67" s="292">
        <v>37954</v>
      </c>
      <c r="G67" s="293">
        <f t="shared" si="7"/>
        <v>586</v>
      </c>
      <c r="H67" s="294"/>
      <c r="I67" s="295">
        <v>1</v>
      </c>
      <c r="J67" s="333">
        <f t="shared" si="6"/>
        <v>0</v>
      </c>
      <c r="K67" s="985"/>
    </row>
    <row r="68" spans="1:19" s="296" customFormat="1" ht="24.95" customHeight="1">
      <c r="A68" s="297">
        <v>7</v>
      </c>
      <c r="B68" s="290" t="s">
        <v>176</v>
      </c>
      <c r="C68" s="290" t="s">
        <v>4</v>
      </c>
      <c r="D68" s="291" t="s">
        <v>10</v>
      </c>
      <c r="E68" s="292">
        <v>37673</v>
      </c>
      <c r="F68" s="292">
        <v>38929</v>
      </c>
      <c r="G68" s="293">
        <f t="shared" si="7"/>
        <v>1257</v>
      </c>
      <c r="H68" s="294"/>
      <c r="I68" s="295">
        <v>0.6</v>
      </c>
      <c r="J68" s="333">
        <f t="shared" si="6"/>
        <v>0</v>
      </c>
      <c r="K68" s="985"/>
    </row>
    <row r="69" spans="1:19" s="296" customFormat="1" ht="24.95" customHeight="1">
      <c r="A69" s="297">
        <v>8</v>
      </c>
      <c r="B69" s="290" t="s">
        <v>177</v>
      </c>
      <c r="C69" s="290" t="s">
        <v>4</v>
      </c>
      <c r="D69" s="291" t="s">
        <v>10</v>
      </c>
      <c r="E69" s="292">
        <v>38240</v>
      </c>
      <c r="F69" s="292">
        <v>39562</v>
      </c>
      <c r="G69" s="293">
        <f t="shared" si="7"/>
        <v>1323</v>
      </c>
      <c r="H69" s="294"/>
      <c r="I69" s="295">
        <v>1</v>
      </c>
      <c r="J69" s="333">
        <f t="shared" si="6"/>
        <v>0</v>
      </c>
      <c r="K69" s="985"/>
    </row>
    <row r="70" spans="1:19" s="296" customFormat="1" ht="24.95" customHeight="1">
      <c r="A70" s="297">
        <v>9</v>
      </c>
      <c r="B70" s="290" t="s">
        <v>12</v>
      </c>
      <c r="C70" s="290" t="s">
        <v>4</v>
      </c>
      <c r="D70" s="291" t="s">
        <v>10</v>
      </c>
      <c r="E70" s="292">
        <v>38078</v>
      </c>
      <c r="F70" s="292">
        <v>38660</v>
      </c>
      <c r="G70" s="293">
        <f t="shared" si="7"/>
        <v>583</v>
      </c>
      <c r="H70" s="294"/>
      <c r="I70" s="295">
        <v>0.6</v>
      </c>
      <c r="J70" s="333">
        <f t="shared" si="6"/>
        <v>0</v>
      </c>
      <c r="K70" s="985"/>
    </row>
    <row r="71" spans="1:19" s="296" customFormat="1" ht="24.95" customHeight="1">
      <c r="A71" s="297">
        <v>10</v>
      </c>
      <c r="B71" s="290" t="s">
        <v>13</v>
      </c>
      <c r="C71" s="290" t="s">
        <v>4</v>
      </c>
      <c r="D71" s="291" t="s">
        <v>10</v>
      </c>
      <c r="E71" s="301">
        <v>38127</v>
      </c>
      <c r="F71" s="301">
        <v>38717</v>
      </c>
      <c r="G71" s="293">
        <f t="shared" si="7"/>
        <v>591</v>
      </c>
      <c r="H71" s="294"/>
      <c r="I71" s="295">
        <v>1</v>
      </c>
      <c r="J71" s="333">
        <f t="shared" si="6"/>
        <v>0</v>
      </c>
      <c r="K71" s="985"/>
    </row>
    <row r="72" spans="1:19" s="296" customFormat="1" ht="24.95" customHeight="1">
      <c r="A72" s="297">
        <v>11</v>
      </c>
      <c r="B72" s="290" t="s">
        <v>14</v>
      </c>
      <c r="C72" s="290" t="s">
        <v>4</v>
      </c>
      <c r="D72" s="291" t="s">
        <v>10</v>
      </c>
      <c r="E72" s="301">
        <v>38098</v>
      </c>
      <c r="F72" s="292">
        <v>38717</v>
      </c>
      <c r="G72" s="293">
        <f t="shared" si="7"/>
        <v>620</v>
      </c>
      <c r="H72" s="294"/>
      <c r="I72" s="295">
        <v>0.6</v>
      </c>
      <c r="J72" s="333">
        <f t="shared" si="6"/>
        <v>0</v>
      </c>
      <c r="K72" s="985"/>
    </row>
    <row r="73" spans="1:19" s="296" customFormat="1" ht="24.95" customHeight="1">
      <c r="A73" s="297">
        <v>12</v>
      </c>
      <c r="B73" s="290" t="s">
        <v>15</v>
      </c>
      <c r="C73" s="290" t="s">
        <v>4</v>
      </c>
      <c r="D73" s="291" t="s">
        <v>10</v>
      </c>
      <c r="E73" s="301">
        <v>37376</v>
      </c>
      <c r="F73" s="301">
        <v>38730</v>
      </c>
      <c r="G73" s="293">
        <f t="shared" si="7"/>
        <v>1355</v>
      </c>
      <c r="H73" s="294"/>
      <c r="I73" s="295">
        <v>1</v>
      </c>
      <c r="J73" s="333">
        <f t="shared" si="6"/>
        <v>0</v>
      </c>
      <c r="K73" s="985"/>
    </row>
    <row r="74" spans="1:19" s="296" customFormat="1" ht="24.95" customHeight="1">
      <c r="A74" s="297">
        <v>13</v>
      </c>
      <c r="B74" s="290" t="s">
        <v>16</v>
      </c>
      <c r="C74" s="290" t="s">
        <v>4</v>
      </c>
      <c r="D74" s="291" t="s">
        <v>10</v>
      </c>
      <c r="E74" s="301">
        <v>38750</v>
      </c>
      <c r="F74" s="292">
        <v>39082</v>
      </c>
      <c r="G74" s="293">
        <f t="shared" si="7"/>
        <v>333</v>
      </c>
      <c r="H74" s="294"/>
      <c r="I74" s="295">
        <v>0.6</v>
      </c>
      <c r="J74" s="333">
        <f t="shared" si="6"/>
        <v>0</v>
      </c>
      <c r="K74" s="985"/>
    </row>
    <row r="75" spans="1:19" s="296" customFormat="1" ht="24.95" customHeight="1">
      <c r="A75" s="297">
        <v>15</v>
      </c>
      <c r="B75" s="290" t="s">
        <v>178</v>
      </c>
      <c r="C75" s="290" t="s">
        <v>4</v>
      </c>
      <c r="D75" s="291" t="s">
        <v>10</v>
      </c>
      <c r="E75" s="301">
        <v>37435</v>
      </c>
      <c r="F75" s="292">
        <v>39414</v>
      </c>
      <c r="G75" s="293">
        <f t="shared" si="7"/>
        <v>1980</v>
      </c>
      <c r="H75" s="294"/>
      <c r="I75" s="295">
        <v>1</v>
      </c>
      <c r="J75" s="333">
        <f t="shared" si="6"/>
        <v>0</v>
      </c>
      <c r="K75" s="985"/>
    </row>
    <row r="76" spans="1:19" s="296" customFormat="1" ht="24.95" customHeight="1">
      <c r="A76" s="297">
        <v>16</v>
      </c>
      <c r="B76" s="290" t="s">
        <v>17</v>
      </c>
      <c r="C76" s="290" t="s">
        <v>4</v>
      </c>
      <c r="D76" s="291" t="s">
        <v>10</v>
      </c>
      <c r="E76" s="301">
        <v>38834</v>
      </c>
      <c r="F76" s="301">
        <v>39482</v>
      </c>
      <c r="G76" s="293">
        <f t="shared" si="7"/>
        <v>649</v>
      </c>
      <c r="H76" s="294"/>
      <c r="I76" s="295">
        <v>1</v>
      </c>
      <c r="J76" s="333">
        <f t="shared" si="6"/>
        <v>0</v>
      </c>
      <c r="K76" s="985"/>
    </row>
    <row r="77" spans="1:19" s="298" customFormat="1" ht="24.95" customHeight="1" thickBot="1">
      <c r="A77" s="993" t="s">
        <v>5</v>
      </c>
      <c r="B77" s="994"/>
      <c r="C77" s="994"/>
      <c r="D77" s="994"/>
      <c r="E77" s="994"/>
      <c r="F77" s="994"/>
      <c r="G77" s="994"/>
      <c r="H77" s="994"/>
      <c r="I77" s="994"/>
      <c r="J77" s="302">
        <f>ROUND((SUM(J63:J76))/365,2)</f>
        <v>0</v>
      </c>
      <c r="K77" s="303"/>
    </row>
    <row r="78" spans="1:19" s="298" customFormat="1" ht="24.95" customHeight="1">
      <c r="A78" s="328"/>
      <c r="B78" s="328"/>
      <c r="C78" s="328"/>
      <c r="D78" s="328"/>
      <c r="E78" s="328"/>
      <c r="F78" s="328"/>
      <c r="G78" s="328"/>
      <c r="H78" s="328"/>
      <c r="I78" s="328"/>
      <c r="J78" s="329"/>
    </row>
    <row r="79" spans="1:19" s="279" customFormat="1" ht="23.25" customHeight="1" thickBot="1">
      <c r="A79" s="995">
        <f>배점기준!C7</f>
        <v>0</v>
      </c>
      <c r="B79" s="996"/>
      <c r="C79" s="327" t="s">
        <v>233</v>
      </c>
      <c r="D79" s="997" t="s">
        <v>2</v>
      </c>
      <c r="E79" s="998"/>
      <c r="F79" s="275"/>
      <c r="G79" s="275"/>
      <c r="H79" s="275"/>
      <c r="I79" s="276"/>
      <c r="J79" s="277"/>
      <c r="K79" s="278"/>
    </row>
    <row r="80" spans="1:19" s="286" customFormat="1" ht="24.95" customHeight="1">
      <c r="A80" s="987" t="s">
        <v>6</v>
      </c>
      <c r="B80" s="989" t="s">
        <v>7</v>
      </c>
      <c r="C80" s="980" t="s">
        <v>8</v>
      </c>
      <c r="D80" s="980" t="s">
        <v>253</v>
      </c>
      <c r="E80" s="991" t="s">
        <v>384</v>
      </c>
      <c r="F80" s="992"/>
      <c r="G80" s="992"/>
      <c r="H80" s="976" t="s">
        <v>482</v>
      </c>
      <c r="I80" s="285" t="s">
        <v>483</v>
      </c>
      <c r="J80" s="978" t="s">
        <v>386</v>
      </c>
      <c r="K80" s="982" t="s">
        <v>9</v>
      </c>
    </row>
    <row r="81" spans="1:19" s="286" customFormat="1" ht="24.95" customHeight="1">
      <c r="A81" s="988"/>
      <c r="B81" s="990"/>
      <c r="C81" s="981"/>
      <c r="D81" s="981"/>
      <c r="E81" s="287" t="s">
        <v>387</v>
      </c>
      <c r="F81" s="287" t="s">
        <v>388</v>
      </c>
      <c r="G81" s="288" t="s">
        <v>179</v>
      </c>
      <c r="H81" s="977"/>
      <c r="I81" s="143" t="s">
        <v>215</v>
      </c>
      <c r="J81" s="979"/>
      <c r="K81" s="983"/>
    </row>
    <row r="82" spans="1:19" s="296" customFormat="1" ht="24.95" customHeight="1">
      <c r="A82" s="289">
        <v>1</v>
      </c>
      <c r="B82" s="290" t="s">
        <v>172</v>
      </c>
      <c r="C82" s="290" t="s">
        <v>4</v>
      </c>
      <c r="D82" s="291" t="s">
        <v>10</v>
      </c>
      <c r="E82" s="292">
        <v>34645</v>
      </c>
      <c r="F82" s="292">
        <v>36522</v>
      </c>
      <c r="G82" s="293">
        <f>F82-E82+1</f>
        <v>1878</v>
      </c>
      <c r="H82" s="294"/>
      <c r="I82" s="295">
        <v>1</v>
      </c>
      <c r="J82" s="333">
        <f t="shared" ref="J82:J95" si="8">ROUND(H82*I82,0)</f>
        <v>0</v>
      </c>
      <c r="K82" s="984"/>
    </row>
    <row r="83" spans="1:19" s="298" customFormat="1" ht="24.95" customHeight="1">
      <c r="A83" s="297">
        <v>2</v>
      </c>
      <c r="B83" s="290" t="s">
        <v>173</v>
      </c>
      <c r="C83" s="290" t="s">
        <v>4</v>
      </c>
      <c r="D83" s="291" t="s">
        <v>10</v>
      </c>
      <c r="E83" s="292">
        <v>34692</v>
      </c>
      <c r="F83" s="292">
        <v>37063</v>
      </c>
      <c r="G83" s="293">
        <f t="shared" ref="G83:G95" si="9">F83-E83+1</f>
        <v>2372</v>
      </c>
      <c r="H83" s="294"/>
      <c r="I83" s="295">
        <v>0.6</v>
      </c>
      <c r="J83" s="333">
        <f t="shared" si="8"/>
        <v>0</v>
      </c>
      <c r="K83" s="985"/>
      <c r="S83" s="299" t="s">
        <v>251</v>
      </c>
    </row>
    <row r="84" spans="1:19" s="298" customFormat="1" ht="24.95" customHeight="1">
      <c r="A84" s="297">
        <v>3</v>
      </c>
      <c r="B84" s="290" t="s">
        <v>174</v>
      </c>
      <c r="C84" s="290" t="s">
        <v>4</v>
      </c>
      <c r="D84" s="291" t="s">
        <v>10</v>
      </c>
      <c r="E84" s="292">
        <v>34967</v>
      </c>
      <c r="F84" s="292">
        <v>36871</v>
      </c>
      <c r="G84" s="293">
        <f t="shared" si="9"/>
        <v>1905</v>
      </c>
      <c r="H84" s="294"/>
      <c r="I84" s="295">
        <v>1</v>
      </c>
      <c r="J84" s="333">
        <f t="shared" si="8"/>
        <v>0</v>
      </c>
      <c r="K84" s="985"/>
      <c r="S84" s="300">
        <v>1</v>
      </c>
    </row>
    <row r="85" spans="1:19" s="298" customFormat="1" ht="24.95" customHeight="1">
      <c r="A85" s="297">
        <v>4</v>
      </c>
      <c r="B85" s="290" t="s">
        <v>175</v>
      </c>
      <c r="C85" s="290" t="s">
        <v>4</v>
      </c>
      <c r="D85" s="291" t="s">
        <v>10</v>
      </c>
      <c r="E85" s="292">
        <v>36194</v>
      </c>
      <c r="F85" s="292">
        <v>37008</v>
      </c>
      <c r="G85" s="293">
        <f t="shared" si="9"/>
        <v>815</v>
      </c>
      <c r="H85" s="294"/>
      <c r="I85" s="295">
        <v>0.6</v>
      </c>
      <c r="J85" s="333">
        <f t="shared" si="8"/>
        <v>0</v>
      </c>
      <c r="K85" s="985"/>
      <c r="S85" s="300">
        <v>0.6</v>
      </c>
    </row>
    <row r="86" spans="1:19" s="298" customFormat="1" ht="24.95" customHeight="1">
      <c r="A86" s="297">
        <v>5</v>
      </c>
      <c r="B86" s="290" t="s">
        <v>11</v>
      </c>
      <c r="C86" s="290" t="s">
        <v>4</v>
      </c>
      <c r="D86" s="291" t="s">
        <v>10</v>
      </c>
      <c r="E86" s="292">
        <v>37369</v>
      </c>
      <c r="F86" s="292">
        <v>37954</v>
      </c>
      <c r="G86" s="293">
        <f t="shared" si="9"/>
        <v>586</v>
      </c>
      <c r="H86" s="294"/>
      <c r="I86" s="295">
        <v>1</v>
      </c>
      <c r="J86" s="333">
        <f t="shared" si="8"/>
        <v>0</v>
      </c>
      <c r="K86" s="985"/>
    </row>
    <row r="87" spans="1:19" s="296" customFormat="1" ht="24.95" customHeight="1">
      <c r="A87" s="297">
        <v>7</v>
      </c>
      <c r="B87" s="290" t="s">
        <v>176</v>
      </c>
      <c r="C87" s="290" t="s">
        <v>4</v>
      </c>
      <c r="D87" s="291" t="s">
        <v>10</v>
      </c>
      <c r="E87" s="292">
        <v>37673</v>
      </c>
      <c r="F87" s="292">
        <v>38929</v>
      </c>
      <c r="G87" s="293">
        <f t="shared" si="9"/>
        <v>1257</v>
      </c>
      <c r="H87" s="294"/>
      <c r="I87" s="295">
        <v>0.6</v>
      </c>
      <c r="J87" s="333">
        <f t="shared" si="8"/>
        <v>0</v>
      </c>
      <c r="K87" s="985"/>
    </row>
    <row r="88" spans="1:19" s="296" customFormat="1" ht="24.95" customHeight="1">
      <c r="A88" s="297">
        <v>8</v>
      </c>
      <c r="B88" s="290" t="s">
        <v>177</v>
      </c>
      <c r="C88" s="290" t="s">
        <v>4</v>
      </c>
      <c r="D88" s="291" t="s">
        <v>10</v>
      </c>
      <c r="E88" s="292">
        <v>38240</v>
      </c>
      <c r="F88" s="292">
        <v>39562</v>
      </c>
      <c r="G88" s="293">
        <f t="shared" si="9"/>
        <v>1323</v>
      </c>
      <c r="H88" s="294"/>
      <c r="I88" s="295">
        <v>1</v>
      </c>
      <c r="J88" s="333">
        <f t="shared" si="8"/>
        <v>0</v>
      </c>
      <c r="K88" s="985"/>
    </row>
    <row r="89" spans="1:19" s="296" customFormat="1" ht="24.95" customHeight="1">
      <c r="A89" s="297">
        <v>9</v>
      </c>
      <c r="B89" s="290" t="s">
        <v>12</v>
      </c>
      <c r="C89" s="290" t="s">
        <v>4</v>
      </c>
      <c r="D89" s="291" t="s">
        <v>10</v>
      </c>
      <c r="E89" s="292">
        <v>38078</v>
      </c>
      <c r="F89" s="292">
        <v>38660</v>
      </c>
      <c r="G89" s="293">
        <f t="shared" si="9"/>
        <v>583</v>
      </c>
      <c r="H89" s="294"/>
      <c r="I89" s="295">
        <v>0.6</v>
      </c>
      <c r="J89" s="333">
        <f t="shared" si="8"/>
        <v>0</v>
      </c>
      <c r="K89" s="985"/>
    </row>
    <row r="90" spans="1:19" s="296" customFormat="1" ht="24.95" customHeight="1">
      <c r="A90" s="297">
        <v>10</v>
      </c>
      <c r="B90" s="290" t="s">
        <v>13</v>
      </c>
      <c r="C90" s="290" t="s">
        <v>4</v>
      </c>
      <c r="D90" s="291" t="s">
        <v>10</v>
      </c>
      <c r="E90" s="301">
        <v>38127</v>
      </c>
      <c r="F90" s="301">
        <v>38717</v>
      </c>
      <c r="G90" s="293">
        <f t="shared" si="9"/>
        <v>591</v>
      </c>
      <c r="H90" s="294"/>
      <c r="I90" s="295">
        <v>1</v>
      </c>
      <c r="J90" s="333">
        <f t="shared" si="8"/>
        <v>0</v>
      </c>
      <c r="K90" s="985"/>
    </row>
    <row r="91" spans="1:19" s="296" customFormat="1" ht="24.95" customHeight="1">
      <c r="A91" s="297">
        <v>11</v>
      </c>
      <c r="B91" s="290" t="s">
        <v>14</v>
      </c>
      <c r="C91" s="290" t="s">
        <v>4</v>
      </c>
      <c r="D91" s="291" t="s">
        <v>10</v>
      </c>
      <c r="E91" s="301">
        <v>38098</v>
      </c>
      <c r="F91" s="292">
        <v>38717</v>
      </c>
      <c r="G91" s="293">
        <f t="shared" si="9"/>
        <v>620</v>
      </c>
      <c r="H91" s="294"/>
      <c r="I91" s="295">
        <v>0.6</v>
      </c>
      <c r="J91" s="333">
        <f t="shared" si="8"/>
        <v>0</v>
      </c>
      <c r="K91" s="985"/>
    </row>
    <row r="92" spans="1:19" s="296" customFormat="1" ht="24.95" customHeight="1">
      <c r="A92" s="297">
        <v>12</v>
      </c>
      <c r="B92" s="290" t="s">
        <v>15</v>
      </c>
      <c r="C92" s="290" t="s">
        <v>4</v>
      </c>
      <c r="D92" s="291" t="s">
        <v>10</v>
      </c>
      <c r="E92" s="301">
        <v>37376</v>
      </c>
      <c r="F92" s="301">
        <v>38730</v>
      </c>
      <c r="G92" s="293">
        <f t="shared" si="9"/>
        <v>1355</v>
      </c>
      <c r="H92" s="294"/>
      <c r="I92" s="295">
        <v>1</v>
      </c>
      <c r="J92" s="333">
        <f t="shared" si="8"/>
        <v>0</v>
      </c>
      <c r="K92" s="985"/>
    </row>
    <row r="93" spans="1:19" s="296" customFormat="1" ht="24.95" customHeight="1">
      <c r="A93" s="297">
        <v>13</v>
      </c>
      <c r="B93" s="290" t="s">
        <v>16</v>
      </c>
      <c r="C93" s="290" t="s">
        <v>4</v>
      </c>
      <c r="D93" s="291" t="s">
        <v>10</v>
      </c>
      <c r="E93" s="301">
        <v>38750</v>
      </c>
      <c r="F93" s="292">
        <v>39082</v>
      </c>
      <c r="G93" s="293">
        <f t="shared" si="9"/>
        <v>333</v>
      </c>
      <c r="H93" s="294"/>
      <c r="I93" s="295">
        <v>0.6</v>
      </c>
      <c r="J93" s="333">
        <f t="shared" si="8"/>
        <v>0</v>
      </c>
      <c r="K93" s="985"/>
    </row>
    <row r="94" spans="1:19" s="296" customFormat="1" ht="24.95" customHeight="1">
      <c r="A94" s="297">
        <v>15</v>
      </c>
      <c r="B94" s="290" t="s">
        <v>178</v>
      </c>
      <c r="C94" s="290" t="s">
        <v>4</v>
      </c>
      <c r="D94" s="291" t="s">
        <v>10</v>
      </c>
      <c r="E94" s="301">
        <v>37435</v>
      </c>
      <c r="F94" s="292">
        <v>39414</v>
      </c>
      <c r="G94" s="293">
        <f t="shared" si="9"/>
        <v>1980</v>
      </c>
      <c r="H94" s="294"/>
      <c r="I94" s="295">
        <v>1</v>
      </c>
      <c r="J94" s="333">
        <f t="shared" si="8"/>
        <v>0</v>
      </c>
      <c r="K94" s="985"/>
    </row>
    <row r="95" spans="1:19" s="296" customFormat="1" ht="24.95" customHeight="1">
      <c r="A95" s="297">
        <v>16</v>
      </c>
      <c r="B95" s="290" t="s">
        <v>17</v>
      </c>
      <c r="C95" s="290" t="s">
        <v>4</v>
      </c>
      <c r="D95" s="291" t="s">
        <v>10</v>
      </c>
      <c r="E95" s="301">
        <v>38834</v>
      </c>
      <c r="F95" s="301">
        <v>39482</v>
      </c>
      <c r="G95" s="293">
        <f t="shared" si="9"/>
        <v>649</v>
      </c>
      <c r="H95" s="294"/>
      <c r="I95" s="295">
        <v>1</v>
      </c>
      <c r="J95" s="333">
        <f t="shared" si="8"/>
        <v>0</v>
      </c>
      <c r="K95" s="985"/>
    </row>
    <row r="96" spans="1:19" s="298" customFormat="1" ht="24.95" customHeight="1" thickBot="1">
      <c r="A96" s="993" t="s">
        <v>5</v>
      </c>
      <c r="B96" s="994"/>
      <c r="C96" s="994"/>
      <c r="D96" s="994"/>
      <c r="E96" s="994"/>
      <c r="F96" s="994"/>
      <c r="G96" s="994"/>
      <c r="H96" s="994"/>
      <c r="I96" s="999"/>
      <c r="J96" s="302">
        <f>ROUND((SUM(J82:J95))/365,2)</f>
        <v>0</v>
      </c>
      <c r="K96" s="303"/>
    </row>
    <row r="97" spans="1:19" s="298" customFormat="1" ht="24.95" customHeight="1">
      <c r="A97" s="328"/>
      <c r="B97" s="328"/>
      <c r="C97" s="328"/>
      <c r="D97" s="328"/>
      <c r="E97" s="328"/>
      <c r="F97" s="328"/>
      <c r="G97" s="328"/>
      <c r="H97" s="328"/>
      <c r="I97" s="328"/>
      <c r="J97" s="329"/>
    </row>
    <row r="98" spans="1:19" s="279" customFormat="1" ht="23.25" customHeight="1" thickBot="1">
      <c r="A98" s="995">
        <f>배점기준!C8</f>
        <v>0</v>
      </c>
      <c r="B98" s="996"/>
      <c r="C98" s="327" t="s">
        <v>233</v>
      </c>
      <c r="D98" s="997" t="s">
        <v>2</v>
      </c>
      <c r="E98" s="998"/>
      <c r="F98" s="275"/>
      <c r="G98" s="275"/>
      <c r="H98" s="275"/>
      <c r="I98" s="276"/>
      <c r="J98" s="277"/>
      <c r="K98" s="278"/>
    </row>
    <row r="99" spans="1:19" s="286" customFormat="1" ht="24.95" customHeight="1">
      <c r="A99" s="987" t="s">
        <v>6</v>
      </c>
      <c r="B99" s="989" t="s">
        <v>7</v>
      </c>
      <c r="C99" s="980" t="s">
        <v>8</v>
      </c>
      <c r="D99" s="980" t="s">
        <v>253</v>
      </c>
      <c r="E99" s="991" t="s">
        <v>384</v>
      </c>
      <c r="F99" s="992"/>
      <c r="G99" s="992"/>
      <c r="H99" s="976" t="s">
        <v>482</v>
      </c>
      <c r="I99" s="285" t="s">
        <v>483</v>
      </c>
      <c r="J99" s="978" t="s">
        <v>386</v>
      </c>
      <c r="K99" s="982" t="s">
        <v>9</v>
      </c>
    </row>
    <row r="100" spans="1:19" s="286" customFormat="1" ht="24.95" customHeight="1">
      <c r="A100" s="988"/>
      <c r="B100" s="990"/>
      <c r="C100" s="981"/>
      <c r="D100" s="981"/>
      <c r="E100" s="287" t="s">
        <v>387</v>
      </c>
      <c r="F100" s="287" t="s">
        <v>388</v>
      </c>
      <c r="G100" s="288" t="s">
        <v>179</v>
      </c>
      <c r="H100" s="977"/>
      <c r="I100" s="143" t="s">
        <v>215</v>
      </c>
      <c r="J100" s="979"/>
      <c r="K100" s="983"/>
    </row>
    <row r="101" spans="1:19" s="296" customFormat="1" ht="24.95" customHeight="1">
      <c r="A101" s="289">
        <v>1</v>
      </c>
      <c r="B101" s="290" t="s">
        <v>172</v>
      </c>
      <c r="C101" s="290" t="s">
        <v>4</v>
      </c>
      <c r="D101" s="291" t="s">
        <v>10</v>
      </c>
      <c r="E101" s="292">
        <v>34645</v>
      </c>
      <c r="F101" s="292">
        <v>36522</v>
      </c>
      <c r="G101" s="293">
        <f>F101-E101+1</f>
        <v>1878</v>
      </c>
      <c r="H101" s="294"/>
      <c r="I101" s="295">
        <v>1</v>
      </c>
      <c r="J101" s="333">
        <f t="shared" ref="J101:J114" si="10">ROUND(H101*I101,0)</f>
        <v>0</v>
      </c>
      <c r="K101" s="984"/>
    </row>
    <row r="102" spans="1:19" s="298" customFormat="1" ht="24.95" customHeight="1">
      <c r="A102" s="297">
        <v>2</v>
      </c>
      <c r="B102" s="290" t="s">
        <v>173</v>
      </c>
      <c r="C102" s="290" t="s">
        <v>4</v>
      </c>
      <c r="D102" s="291" t="s">
        <v>10</v>
      </c>
      <c r="E102" s="292">
        <v>34692</v>
      </c>
      <c r="F102" s="292">
        <v>37063</v>
      </c>
      <c r="G102" s="293">
        <f t="shared" ref="G102:G114" si="11">F102-E102+1</f>
        <v>2372</v>
      </c>
      <c r="H102" s="294"/>
      <c r="I102" s="295">
        <v>0.6</v>
      </c>
      <c r="J102" s="333">
        <f t="shared" si="10"/>
        <v>0</v>
      </c>
      <c r="K102" s="985"/>
      <c r="S102" s="299" t="s">
        <v>251</v>
      </c>
    </row>
    <row r="103" spans="1:19" s="298" customFormat="1" ht="24.95" customHeight="1">
      <c r="A103" s="297">
        <v>3</v>
      </c>
      <c r="B103" s="290" t="s">
        <v>174</v>
      </c>
      <c r="C103" s="290" t="s">
        <v>4</v>
      </c>
      <c r="D103" s="291" t="s">
        <v>10</v>
      </c>
      <c r="E103" s="292">
        <v>34967</v>
      </c>
      <c r="F103" s="292">
        <v>36871</v>
      </c>
      <c r="G103" s="293">
        <f t="shared" si="11"/>
        <v>1905</v>
      </c>
      <c r="H103" s="294"/>
      <c r="I103" s="295">
        <v>1</v>
      </c>
      <c r="J103" s="333">
        <f t="shared" si="10"/>
        <v>0</v>
      </c>
      <c r="K103" s="985"/>
      <c r="S103" s="300">
        <v>1</v>
      </c>
    </row>
    <row r="104" spans="1:19" s="298" customFormat="1" ht="24.95" customHeight="1">
      <c r="A104" s="297">
        <v>4</v>
      </c>
      <c r="B104" s="290" t="s">
        <v>175</v>
      </c>
      <c r="C104" s="290" t="s">
        <v>4</v>
      </c>
      <c r="D104" s="291" t="s">
        <v>10</v>
      </c>
      <c r="E104" s="292">
        <v>36194</v>
      </c>
      <c r="F104" s="292">
        <v>37008</v>
      </c>
      <c r="G104" s="293">
        <f t="shared" si="11"/>
        <v>815</v>
      </c>
      <c r="H104" s="294"/>
      <c r="I104" s="295">
        <v>0.6</v>
      </c>
      <c r="J104" s="333">
        <f t="shared" si="10"/>
        <v>0</v>
      </c>
      <c r="K104" s="985"/>
      <c r="S104" s="300">
        <v>0.6</v>
      </c>
    </row>
    <row r="105" spans="1:19" s="298" customFormat="1" ht="24.95" customHeight="1">
      <c r="A105" s="297">
        <v>5</v>
      </c>
      <c r="B105" s="290" t="s">
        <v>11</v>
      </c>
      <c r="C105" s="290" t="s">
        <v>4</v>
      </c>
      <c r="D105" s="291" t="s">
        <v>10</v>
      </c>
      <c r="E105" s="292">
        <v>37369</v>
      </c>
      <c r="F105" s="292">
        <v>37954</v>
      </c>
      <c r="G105" s="293">
        <f t="shared" si="11"/>
        <v>586</v>
      </c>
      <c r="H105" s="294"/>
      <c r="I105" s="295">
        <v>1</v>
      </c>
      <c r="J105" s="333">
        <f t="shared" si="10"/>
        <v>0</v>
      </c>
      <c r="K105" s="985"/>
    </row>
    <row r="106" spans="1:19" s="296" customFormat="1" ht="24.95" customHeight="1">
      <c r="A106" s="297">
        <v>7</v>
      </c>
      <c r="B106" s="290" t="s">
        <v>176</v>
      </c>
      <c r="C106" s="290" t="s">
        <v>4</v>
      </c>
      <c r="D106" s="291" t="s">
        <v>10</v>
      </c>
      <c r="E106" s="292">
        <v>37673</v>
      </c>
      <c r="F106" s="292">
        <v>38929</v>
      </c>
      <c r="G106" s="293">
        <f t="shared" si="11"/>
        <v>1257</v>
      </c>
      <c r="H106" s="294"/>
      <c r="I106" s="295">
        <v>0.6</v>
      </c>
      <c r="J106" s="333">
        <f t="shared" si="10"/>
        <v>0</v>
      </c>
      <c r="K106" s="985"/>
    </row>
    <row r="107" spans="1:19" s="296" customFormat="1" ht="24.95" customHeight="1">
      <c r="A107" s="297">
        <v>8</v>
      </c>
      <c r="B107" s="290" t="s">
        <v>177</v>
      </c>
      <c r="C107" s="290" t="s">
        <v>4</v>
      </c>
      <c r="D107" s="291" t="s">
        <v>10</v>
      </c>
      <c r="E107" s="292">
        <v>38240</v>
      </c>
      <c r="F107" s="292">
        <v>39562</v>
      </c>
      <c r="G107" s="293">
        <f t="shared" si="11"/>
        <v>1323</v>
      </c>
      <c r="H107" s="294"/>
      <c r="I107" s="295">
        <v>1</v>
      </c>
      <c r="J107" s="333">
        <f t="shared" si="10"/>
        <v>0</v>
      </c>
      <c r="K107" s="985"/>
    </row>
    <row r="108" spans="1:19" s="296" customFormat="1" ht="24.95" customHeight="1">
      <c r="A108" s="297">
        <v>9</v>
      </c>
      <c r="B108" s="290" t="s">
        <v>12</v>
      </c>
      <c r="C108" s="290" t="s">
        <v>4</v>
      </c>
      <c r="D108" s="291" t="s">
        <v>10</v>
      </c>
      <c r="E108" s="292">
        <v>38078</v>
      </c>
      <c r="F108" s="292">
        <v>38660</v>
      </c>
      <c r="G108" s="293">
        <f t="shared" si="11"/>
        <v>583</v>
      </c>
      <c r="H108" s="294"/>
      <c r="I108" s="295">
        <v>0.6</v>
      </c>
      <c r="J108" s="333">
        <f t="shared" si="10"/>
        <v>0</v>
      </c>
      <c r="K108" s="985"/>
    </row>
    <row r="109" spans="1:19" s="296" customFormat="1" ht="24.95" customHeight="1">
      <c r="A109" s="297">
        <v>10</v>
      </c>
      <c r="B109" s="290" t="s">
        <v>13</v>
      </c>
      <c r="C109" s="290" t="s">
        <v>4</v>
      </c>
      <c r="D109" s="291" t="s">
        <v>10</v>
      </c>
      <c r="E109" s="301">
        <v>38127</v>
      </c>
      <c r="F109" s="301">
        <v>38717</v>
      </c>
      <c r="G109" s="293">
        <f t="shared" si="11"/>
        <v>591</v>
      </c>
      <c r="H109" s="294"/>
      <c r="I109" s="295">
        <v>1</v>
      </c>
      <c r="J109" s="333">
        <f t="shared" si="10"/>
        <v>0</v>
      </c>
      <c r="K109" s="985"/>
    </row>
    <row r="110" spans="1:19" s="296" customFormat="1" ht="24.95" customHeight="1">
      <c r="A110" s="297">
        <v>11</v>
      </c>
      <c r="B110" s="290" t="s">
        <v>14</v>
      </c>
      <c r="C110" s="290" t="s">
        <v>4</v>
      </c>
      <c r="D110" s="291" t="s">
        <v>10</v>
      </c>
      <c r="E110" s="301">
        <v>38098</v>
      </c>
      <c r="F110" s="292">
        <v>38717</v>
      </c>
      <c r="G110" s="293">
        <f t="shared" si="11"/>
        <v>620</v>
      </c>
      <c r="H110" s="294"/>
      <c r="I110" s="295">
        <v>0.6</v>
      </c>
      <c r="J110" s="333">
        <f t="shared" si="10"/>
        <v>0</v>
      </c>
      <c r="K110" s="985"/>
    </row>
    <row r="111" spans="1:19" s="296" customFormat="1" ht="24.95" customHeight="1">
      <c r="A111" s="297">
        <v>12</v>
      </c>
      <c r="B111" s="290" t="s">
        <v>15</v>
      </c>
      <c r="C111" s="290" t="s">
        <v>4</v>
      </c>
      <c r="D111" s="291" t="s">
        <v>10</v>
      </c>
      <c r="E111" s="301">
        <v>37376</v>
      </c>
      <c r="F111" s="301">
        <v>38730</v>
      </c>
      <c r="G111" s="293">
        <f t="shared" si="11"/>
        <v>1355</v>
      </c>
      <c r="H111" s="294"/>
      <c r="I111" s="295">
        <v>1</v>
      </c>
      <c r="J111" s="333">
        <f t="shared" si="10"/>
        <v>0</v>
      </c>
      <c r="K111" s="985"/>
    </row>
    <row r="112" spans="1:19" s="296" customFormat="1" ht="24.95" customHeight="1">
      <c r="A112" s="297">
        <v>13</v>
      </c>
      <c r="B112" s="290" t="s">
        <v>16</v>
      </c>
      <c r="C112" s="290" t="s">
        <v>4</v>
      </c>
      <c r="D112" s="291" t="s">
        <v>10</v>
      </c>
      <c r="E112" s="301">
        <v>38750</v>
      </c>
      <c r="F112" s="292">
        <v>39082</v>
      </c>
      <c r="G112" s="293">
        <f t="shared" si="11"/>
        <v>333</v>
      </c>
      <c r="H112" s="294"/>
      <c r="I112" s="295">
        <v>0.6</v>
      </c>
      <c r="J112" s="333">
        <f t="shared" si="10"/>
        <v>0</v>
      </c>
      <c r="K112" s="985"/>
    </row>
    <row r="113" spans="1:11" s="296" customFormat="1" ht="24.95" customHeight="1">
      <c r="A113" s="297">
        <v>15</v>
      </c>
      <c r="B113" s="290" t="s">
        <v>178</v>
      </c>
      <c r="C113" s="290" t="s">
        <v>4</v>
      </c>
      <c r="D113" s="291" t="s">
        <v>10</v>
      </c>
      <c r="E113" s="301">
        <v>37435</v>
      </c>
      <c r="F113" s="292">
        <v>39414</v>
      </c>
      <c r="G113" s="293">
        <f t="shared" si="11"/>
        <v>1980</v>
      </c>
      <c r="H113" s="294"/>
      <c r="I113" s="295">
        <v>1</v>
      </c>
      <c r="J113" s="333">
        <f t="shared" si="10"/>
        <v>0</v>
      </c>
      <c r="K113" s="985"/>
    </row>
    <row r="114" spans="1:11" s="296" customFormat="1" ht="24.95" customHeight="1">
      <c r="A114" s="297">
        <v>16</v>
      </c>
      <c r="B114" s="290" t="s">
        <v>17</v>
      </c>
      <c r="C114" s="290" t="s">
        <v>4</v>
      </c>
      <c r="D114" s="291" t="s">
        <v>10</v>
      </c>
      <c r="E114" s="301">
        <v>38834</v>
      </c>
      <c r="F114" s="301">
        <v>39482</v>
      </c>
      <c r="G114" s="293">
        <f t="shared" si="11"/>
        <v>649</v>
      </c>
      <c r="H114" s="294"/>
      <c r="I114" s="295">
        <v>1</v>
      </c>
      <c r="J114" s="333">
        <f t="shared" si="10"/>
        <v>0</v>
      </c>
      <c r="K114" s="985"/>
    </row>
    <row r="115" spans="1:11" s="298" customFormat="1" ht="24.95" customHeight="1" thickBot="1">
      <c r="A115" s="993" t="s">
        <v>5</v>
      </c>
      <c r="B115" s="994"/>
      <c r="C115" s="994"/>
      <c r="D115" s="994"/>
      <c r="E115" s="994"/>
      <c r="F115" s="994"/>
      <c r="G115" s="994"/>
      <c r="H115" s="994"/>
      <c r="I115" s="994"/>
      <c r="J115" s="302">
        <f>ROUND((SUM(J101:J114))/365,2)</f>
        <v>0</v>
      </c>
      <c r="K115" s="303"/>
    </row>
    <row r="116" spans="1:11" s="310" customFormat="1" ht="15" customHeight="1">
      <c r="B116" s="314"/>
      <c r="C116" s="314"/>
      <c r="D116" s="314"/>
      <c r="E116" s="308"/>
      <c r="F116" s="308"/>
      <c r="G116" s="308"/>
      <c r="H116" s="308"/>
      <c r="I116" s="309"/>
    </row>
    <row r="117" spans="1:11" s="306" customFormat="1" ht="15" customHeight="1">
      <c r="A117" s="308"/>
      <c r="B117" s="308"/>
      <c r="C117" s="308"/>
      <c r="D117" s="308"/>
      <c r="E117" s="315"/>
      <c r="F117" s="315"/>
      <c r="G117" s="315"/>
      <c r="H117" s="315"/>
      <c r="I117" s="316"/>
      <c r="J117" s="317"/>
    </row>
    <row r="118" spans="1:11" ht="15" customHeight="1">
      <c r="B118" s="319"/>
      <c r="C118" s="319"/>
      <c r="D118" s="319"/>
      <c r="E118" s="320"/>
      <c r="F118" s="320"/>
      <c r="G118" s="319"/>
    </row>
    <row r="119" spans="1:11" ht="15" customHeight="1">
      <c r="C119" s="320"/>
      <c r="D119" s="320"/>
      <c r="E119" s="320"/>
      <c r="F119" s="320"/>
      <c r="G119" s="319"/>
    </row>
    <row r="120" spans="1:11" ht="15" customHeight="1">
      <c r="C120" s="320"/>
      <c r="D120" s="320"/>
      <c r="E120" s="320"/>
      <c r="F120" s="320"/>
      <c r="G120" s="319"/>
    </row>
    <row r="121" spans="1:11" ht="12" customHeight="1">
      <c r="C121" s="320"/>
      <c r="D121" s="320"/>
      <c r="E121" s="320"/>
      <c r="F121" s="320"/>
      <c r="G121" s="319"/>
    </row>
    <row r="122" spans="1:11" ht="12" customHeight="1">
      <c r="C122" s="320"/>
      <c r="D122" s="320"/>
      <c r="E122" s="320"/>
      <c r="F122" s="320"/>
      <c r="G122" s="319"/>
    </row>
    <row r="123" spans="1:11" ht="12" customHeight="1">
      <c r="C123" s="320"/>
      <c r="D123" s="320"/>
      <c r="E123" s="320"/>
      <c r="F123" s="320"/>
      <c r="G123" s="319"/>
    </row>
    <row r="124" spans="1:11" ht="12" customHeight="1">
      <c r="C124" s="320"/>
      <c r="D124" s="320"/>
      <c r="E124" s="320"/>
      <c r="F124" s="320"/>
      <c r="G124" s="319"/>
    </row>
    <row r="125" spans="1:11" ht="12" customHeight="1">
      <c r="C125" s="320"/>
      <c r="D125" s="320"/>
      <c r="E125" s="320"/>
      <c r="F125" s="320"/>
      <c r="G125" s="319"/>
    </row>
    <row r="126" spans="1:11" ht="12" customHeight="1">
      <c r="C126" s="320"/>
      <c r="D126" s="320"/>
      <c r="E126" s="320"/>
      <c r="F126" s="320"/>
      <c r="G126" s="319"/>
    </row>
    <row r="127" spans="1:11" ht="12" customHeight="1">
      <c r="C127" s="320"/>
      <c r="D127" s="320"/>
      <c r="E127" s="320"/>
      <c r="F127" s="320"/>
      <c r="G127" s="319"/>
    </row>
    <row r="128" spans="1:11" ht="12" customHeight="1">
      <c r="C128" s="320"/>
      <c r="D128" s="320"/>
      <c r="E128" s="320"/>
      <c r="F128" s="320"/>
      <c r="G128" s="319"/>
    </row>
    <row r="129" spans="3:7" ht="12" customHeight="1">
      <c r="C129" s="320"/>
      <c r="D129" s="320"/>
      <c r="E129" s="320"/>
      <c r="F129" s="320"/>
      <c r="G129" s="319"/>
    </row>
    <row r="130" spans="3:7" ht="12" customHeight="1">
      <c r="C130" s="320"/>
      <c r="D130" s="320"/>
      <c r="E130" s="320"/>
      <c r="F130" s="320"/>
      <c r="G130" s="319"/>
    </row>
    <row r="131" spans="3:7" ht="12" customHeight="1">
      <c r="C131" s="320"/>
      <c r="D131" s="320"/>
      <c r="E131" s="320"/>
      <c r="F131" s="320"/>
      <c r="G131" s="319"/>
    </row>
    <row r="132" spans="3:7" ht="12" customHeight="1">
      <c r="C132" s="320"/>
      <c r="D132" s="320"/>
      <c r="E132" s="320"/>
      <c r="F132" s="320"/>
      <c r="G132" s="319"/>
    </row>
    <row r="133" spans="3:7" ht="12" customHeight="1">
      <c r="C133" s="320"/>
      <c r="D133" s="320"/>
      <c r="E133" s="320"/>
      <c r="F133" s="320"/>
      <c r="G133" s="319"/>
    </row>
    <row r="134" spans="3:7" ht="12" customHeight="1">
      <c r="C134" s="320"/>
      <c r="D134" s="320"/>
      <c r="E134" s="320"/>
      <c r="F134" s="320"/>
      <c r="G134" s="319"/>
    </row>
    <row r="135" spans="3:7" ht="12" customHeight="1">
      <c r="C135" s="320"/>
      <c r="D135" s="320"/>
      <c r="E135" s="320"/>
      <c r="F135" s="320"/>
      <c r="G135" s="319"/>
    </row>
    <row r="136" spans="3:7" ht="12" customHeight="1">
      <c r="C136" s="320"/>
      <c r="D136" s="320"/>
      <c r="E136" s="320"/>
      <c r="F136" s="320"/>
      <c r="G136" s="319"/>
    </row>
    <row r="137" spans="3:7" ht="12" customHeight="1">
      <c r="C137" s="320"/>
      <c r="D137" s="320"/>
      <c r="E137" s="320"/>
      <c r="F137" s="320"/>
      <c r="G137" s="319"/>
    </row>
    <row r="138" spans="3:7" ht="12" customHeight="1">
      <c r="C138" s="320"/>
      <c r="D138" s="320"/>
      <c r="E138" s="320"/>
      <c r="F138" s="320"/>
      <c r="G138" s="319"/>
    </row>
    <row r="139" spans="3:7" ht="12" customHeight="1">
      <c r="C139" s="320"/>
      <c r="D139" s="320"/>
      <c r="E139" s="320"/>
      <c r="F139" s="320"/>
      <c r="G139" s="319"/>
    </row>
    <row r="140" spans="3:7" ht="12" customHeight="1">
      <c r="C140" s="320"/>
      <c r="D140" s="320"/>
      <c r="E140" s="320"/>
      <c r="F140" s="320"/>
      <c r="G140" s="319"/>
    </row>
    <row r="141" spans="3:7" ht="12" customHeight="1">
      <c r="C141" s="320"/>
      <c r="D141" s="320"/>
      <c r="E141" s="320"/>
      <c r="F141" s="320"/>
      <c r="G141" s="319"/>
    </row>
    <row r="142" spans="3:7" ht="12" customHeight="1">
      <c r="C142" s="320"/>
      <c r="D142" s="320"/>
      <c r="E142" s="320"/>
      <c r="F142" s="320"/>
      <c r="G142" s="319"/>
    </row>
    <row r="143" spans="3:7" ht="12" customHeight="1">
      <c r="C143" s="320"/>
      <c r="D143" s="320"/>
      <c r="E143" s="320"/>
      <c r="F143" s="320"/>
      <c r="G143" s="319"/>
    </row>
    <row r="144" spans="3:7" ht="12" customHeight="1">
      <c r="C144" s="320"/>
      <c r="D144" s="320"/>
      <c r="E144" s="320"/>
      <c r="F144" s="320"/>
      <c r="G144" s="319"/>
    </row>
    <row r="145" spans="3:7" ht="12" customHeight="1">
      <c r="C145" s="320"/>
      <c r="D145" s="320"/>
      <c r="E145" s="320"/>
      <c r="F145" s="320"/>
      <c r="G145" s="319"/>
    </row>
    <row r="146" spans="3:7" ht="12" customHeight="1">
      <c r="C146" s="320"/>
      <c r="D146" s="320"/>
      <c r="E146" s="320"/>
      <c r="F146" s="320"/>
      <c r="G146" s="319"/>
    </row>
    <row r="147" spans="3:7" ht="12" customHeight="1">
      <c r="C147" s="320"/>
      <c r="D147" s="320"/>
      <c r="E147" s="320"/>
      <c r="F147" s="320"/>
      <c r="G147" s="319"/>
    </row>
    <row r="148" spans="3:7" ht="12" customHeight="1">
      <c r="C148" s="320"/>
      <c r="D148" s="320"/>
      <c r="E148" s="320"/>
      <c r="F148" s="320"/>
      <c r="G148" s="319"/>
    </row>
    <row r="149" spans="3:7" ht="12" customHeight="1">
      <c r="C149" s="320"/>
      <c r="D149" s="320"/>
      <c r="E149" s="320"/>
      <c r="F149" s="320"/>
      <c r="G149" s="319"/>
    </row>
    <row r="150" spans="3:7" ht="12" customHeight="1">
      <c r="C150" s="320"/>
      <c r="D150" s="320"/>
      <c r="E150" s="320"/>
      <c r="F150" s="320"/>
      <c r="G150" s="319"/>
    </row>
    <row r="151" spans="3:7" ht="12" customHeight="1">
      <c r="C151" s="320"/>
      <c r="D151" s="320"/>
      <c r="E151" s="320"/>
      <c r="F151" s="320"/>
      <c r="G151" s="319"/>
    </row>
    <row r="152" spans="3:7" ht="12" customHeight="1">
      <c r="C152" s="320"/>
      <c r="D152" s="320"/>
      <c r="E152" s="320"/>
      <c r="F152" s="320"/>
      <c r="G152" s="319"/>
    </row>
    <row r="153" spans="3:7" ht="12" customHeight="1">
      <c r="C153" s="320"/>
      <c r="D153" s="320"/>
      <c r="E153" s="320"/>
      <c r="F153" s="320"/>
      <c r="G153" s="319"/>
    </row>
    <row r="154" spans="3:7" ht="12" customHeight="1">
      <c r="C154" s="320"/>
      <c r="D154" s="320"/>
      <c r="E154" s="320"/>
      <c r="F154" s="320"/>
      <c r="G154" s="319"/>
    </row>
    <row r="155" spans="3:7" ht="12" customHeight="1">
      <c r="C155" s="320"/>
      <c r="D155" s="320"/>
      <c r="E155" s="320"/>
      <c r="F155" s="320"/>
      <c r="G155" s="319"/>
    </row>
    <row r="156" spans="3:7" ht="12" customHeight="1">
      <c r="C156" s="320"/>
      <c r="D156" s="320"/>
      <c r="E156" s="320"/>
      <c r="F156" s="320"/>
      <c r="G156" s="319"/>
    </row>
    <row r="157" spans="3:7" ht="12" customHeight="1">
      <c r="C157" s="320"/>
      <c r="D157" s="320"/>
      <c r="E157" s="320"/>
      <c r="F157" s="320"/>
      <c r="G157" s="319"/>
    </row>
    <row r="158" spans="3:7" ht="12" customHeight="1">
      <c r="C158" s="320"/>
      <c r="D158" s="320"/>
      <c r="E158" s="320"/>
      <c r="F158" s="320"/>
      <c r="G158" s="319"/>
    </row>
    <row r="159" spans="3:7" ht="12" customHeight="1">
      <c r="C159" s="320"/>
      <c r="D159" s="320"/>
      <c r="E159" s="320"/>
      <c r="F159" s="320"/>
      <c r="G159" s="319"/>
    </row>
    <row r="160" spans="3:7" ht="12" customHeight="1">
      <c r="C160" s="320"/>
      <c r="D160" s="320"/>
      <c r="E160" s="320"/>
      <c r="F160" s="320"/>
      <c r="G160" s="319"/>
    </row>
    <row r="161" spans="3:7" ht="12" customHeight="1">
      <c r="C161" s="320"/>
      <c r="D161" s="320"/>
      <c r="E161" s="320"/>
      <c r="F161" s="320"/>
      <c r="G161" s="319"/>
    </row>
    <row r="162" spans="3:7" ht="12" customHeight="1">
      <c r="C162" s="320"/>
      <c r="D162" s="320"/>
      <c r="E162" s="320"/>
      <c r="F162" s="320"/>
      <c r="G162" s="319"/>
    </row>
    <row r="163" spans="3:7" ht="12" customHeight="1">
      <c r="C163" s="320"/>
      <c r="D163" s="320"/>
      <c r="E163" s="320"/>
      <c r="F163" s="320"/>
      <c r="G163" s="319"/>
    </row>
    <row r="164" spans="3:7" ht="12" customHeight="1">
      <c r="C164" s="320"/>
      <c r="D164" s="320"/>
      <c r="E164" s="320"/>
      <c r="F164" s="320"/>
      <c r="G164" s="319"/>
    </row>
    <row r="165" spans="3:7" ht="12" customHeight="1">
      <c r="C165" s="320"/>
      <c r="D165" s="320"/>
      <c r="E165" s="320"/>
      <c r="F165" s="320"/>
      <c r="G165" s="319"/>
    </row>
    <row r="166" spans="3:7" ht="12" customHeight="1">
      <c r="C166" s="320"/>
      <c r="D166" s="320"/>
      <c r="E166" s="320"/>
      <c r="F166" s="320"/>
      <c r="G166" s="319"/>
    </row>
    <row r="167" spans="3:7" ht="12" customHeight="1">
      <c r="C167" s="320"/>
      <c r="D167" s="320"/>
      <c r="E167" s="320"/>
      <c r="F167" s="320"/>
      <c r="G167" s="319"/>
    </row>
    <row r="168" spans="3:7" ht="12" customHeight="1">
      <c r="C168" s="320"/>
      <c r="D168" s="320"/>
      <c r="E168" s="320"/>
      <c r="F168" s="320"/>
      <c r="G168" s="319"/>
    </row>
    <row r="169" spans="3:7" ht="12" customHeight="1">
      <c r="C169" s="320"/>
      <c r="D169" s="320"/>
      <c r="E169" s="320"/>
      <c r="F169" s="320"/>
      <c r="G169" s="319"/>
    </row>
    <row r="170" spans="3:7" ht="12" customHeight="1">
      <c r="C170" s="320"/>
      <c r="D170" s="320"/>
      <c r="E170" s="320"/>
      <c r="F170" s="320"/>
      <c r="G170" s="319"/>
    </row>
    <row r="171" spans="3:7" ht="12" customHeight="1">
      <c r="C171" s="320"/>
      <c r="D171" s="320"/>
      <c r="E171" s="320"/>
      <c r="F171" s="320"/>
      <c r="G171" s="319"/>
    </row>
    <row r="172" spans="3:7" ht="12" customHeight="1">
      <c r="C172" s="320"/>
      <c r="D172" s="320"/>
      <c r="E172" s="320"/>
      <c r="F172" s="320"/>
      <c r="G172" s="319"/>
    </row>
    <row r="173" spans="3:7" ht="12" customHeight="1">
      <c r="C173" s="320"/>
      <c r="D173" s="320"/>
      <c r="E173" s="320"/>
      <c r="F173" s="320"/>
      <c r="G173" s="319"/>
    </row>
    <row r="174" spans="3:7" ht="12" customHeight="1">
      <c r="C174" s="320"/>
      <c r="D174" s="320"/>
      <c r="E174" s="320"/>
      <c r="F174" s="320"/>
      <c r="G174" s="319"/>
    </row>
    <row r="175" spans="3:7" ht="12" customHeight="1">
      <c r="C175" s="320"/>
      <c r="D175" s="320"/>
      <c r="E175" s="320"/>
      <c r="F175" s="320"/>
      <c r="G175" s="319"/>
    </row>
    <row r="176" spans="3:7" ht="12" customHeight="1">
      <c r="C176" s="320"/>
      <c r="D176" s="320"/>
      <c r="E176" s="320"/>
      <c r="F176" s="320"/>
      <c r="G176" s="319"/>
    </row>
    <row r="177" spans="3:7" ht="12" customHeight="1">
      <c r="C177" s="320"/>
      <c r="D177" s="320"/>
      <c r="E177" s="320"/>
      <c r="F177" s="320"/>
      <c r="G177" s="319"/>
    </row>
    <row r="178" spans="3:7" ht="12" customHeight="1">
      <c r="C178" s="320"/>
      <c r="D178" s="320"/>
      <c r="E178" s="320"/>
      <c r="F178" s="320"/>
      <c r="G178" s="319"/>
    </row>
    <row r="179" spans="3:7" ht="12" customHeight="1">
      <c r="C179" s="320"/>
      <c r="D179" s="320"/>
      <c r="E179" s="320"/>
      <c r="F179" s="320"/>
      <c r="G179" s="319"/>
    </row>
    <row r="180" spans="3:7" ht="12" customHeight="1">
      <c r="C180" s="320"/>
      <c r="D180" s="320"/>
      <c r="E180" s="320"/>
      <c r="F180" s="320"/>
      <c r="G180" s="319"/>
    </row>
    <row r="181" spans="3:7" ht="12" customHeight="1">
      <c r="C181" s="320"/>
      <c r="D181" s="320"/>
      <c r="E181" s="320"/>
      <c r="F181" s="320"/>
      <c r="G181" s="319"/>
    </row>
    <row r="182" spans="3:7" ht="12" customHeight="1">
      <c r="C182" s="320"/>
      <c r="D182" s="320"/>
      <c r="E182" s="320"/>
      <c r="F182" s="320"/>
      <c r="G182" s="319"/>
    </row>
    <row r="183" spans="3:7" ht="12" customHeight="1">
      <c r="C183" s="320"/>
      <c r="D183" s="320"/>
      <c r="E183" s="320"/>
      <c r="F183" s="320"/>
      <c r="G183" s="319"/>
    </row>
    <row r="184" spans="3:7" ht="12" customHeight="1">
      <c r="C184" s="320"/>
      <c r="D184" s="320"/>
      <c r="E184" s="320"/>
      <c r="F184" s="320"/>
      <c r="G184" s="319"/>
    </row>
    <row r="185" spans="3:7" ht="12" customHeight="1">
      <c r="C185" s="320"/>
      <c r="D185" s="320"/>
      <c r="E185" s="320"/>
      <c r="F185" s="320"/>
      <c r="G185" s="319"/>
    </row>
    <row r="186" spans="3:7" ht="12" customHeight="1">
      <c r="C186" s="320"/>
      <c r="D186" s="320"/>
      <c r="E186" s="320"/>
      <c r="F186" s="320"/>
      <c r="G186" s="319"/>
    </row>
    <row r="187" spans="3:7" ht="12" customHeight="1">
      <c r="C187" s="320"/>
      <c r="D187" s="320"/>
      <c r="E187" s="320"/>
      <c r="F187" s="320"/>
      <c r="G187" s="319"/>
    </row>
    <row r="188" spans="3:7" ht="12" customHeight="1">
      <c r="C188" s="320"/>
      <c r="D188" s="320"/>
      <c r="E188" s="320"/>
      <c r="F188" s="320"/>
      <c r="G188" s="319"/>
    </row>
    <row r="189" spans="3:7" ht="12" customHeight="1">
      <c r="C189" s="320"/>
      <c r="D189" s="320"/>
      <c r="E189" s="320"/>
      <c r="F189" s="320"/>
      <c r="G189" s="319"/>
    </row>
    <row r="190" spans="3:7" ht="12" customHeight="1">
      <c r="C190" s="320"/>
      <c r="D190" s="320"/>
      <c r="E190" s="320"/>
      <c r="F190" s="320"/>
      <c r="G190" s="319"/>
    </row>
    <row r="191" spans="3:7" ht="12" customHeight="1">
      <c r="C191" s="320"/>
      <c r="D191" s="320"/>
      <c r="E191" s="320"/>
      <c r="F191" s="320"/>
      <c r="G191" s="319"/>
    </row>
    <row r="192" spans="3:7" ht="12" customHeight="1">
      <c r="C192" s="320"/>
      <c r="D192" s="320"/>
      <c r="E192" s="320"/>
      <c r="F192" s="320"/>
      <c r="G192" s="319"/>
    </row>
    <row r="193" spans="3:7" ht="12" customHeight="1">
      <c r="C193" s="320"/>
      <c r="D193" s="320"/>
      <c r="E193" s="320"/>
      <c r="F193" s="320"/>
      <c r="G193" s="319"/>
    </row>
    <row r="194" spans="3:7" ht="12" customHeight="1">
      <c r="C194" s="320"/>
      <c r="D194" s="320"/>
      <c r="E194" s="320"/>
      <c r="F194" s="320"/>
      <c r="G194" s="319"/>
    </row>
    <row r="195" spans="3:7" ht="12" customHeight="1">
      <c r="C195" s="320"/>
      <c r="D195" s="320"/>
      <c r="E195" s="320"/>
      <c r="F195" s="320"/>
      <c r="G195" s="319"/>
    </row>
    <row r="196" spans="3:7" ht="12" customHeight="1">
      <c r="C196" s="320"/>
      <c r="D196" s="320"/>
      <c r="E196" s="320"/>
      <c r="F196" s="320"/>
      <c r="G196" s="319"/>
    </row>
    <row r="197" spans="3:7" ht="12" customHeight="1">
      <c r="C197" s="320"/>
      <c r="D197" s="320"/>
      <c r="E197" s="320"/>
      <c r="F197" s="320"/>
      <c r="G197" s="319"/>
    </row>
    <row r="198" spans="3:7" ht="12" customHeight="1">
      <c r="C198" s="320"/>
      <c r="D198" s="320"/>
      <c r="E198" s="320"/>
      <c r="F198" s="320"/>
      <c r="G198" s="319"/>
    </row>
    <row r="199" spans="3:7" ht="12" customHeight="1">
      <c r="C199" s="320"/>
      <c r="D199" s="320"/>
      <c r="E199" s="320"/>
      <c r="F199" s="320"/>
      <c r="G199" s="319"/>
    </row>
    <row r="200" spans="3:7" ht="12" customHeight="1">
      <c r="C200" s="320"/>
      <c r="D200" s="320"/>
      <c r="E200" s="320"/>
      <c r="F200" s="320"/>
      <c r="G200" s="319"/>
    </row>
    <row r="201" spans="3:7" ht="12" customHeight="1">
      <c r="C201" s="320"/>
      <c r="D201" s="320"/>
      <c r="E201" s="320"/>
      <c r="F201" s="320"/>
      <c r="G201" s="319"/>
    </row>
    <row r="202" spans="3:7" ht="12" customHeight="1">
      <c r="C202" s="320"/>
      <c r="D202" s="320"/>
      <c r="E202" s="320"/>
      <c r="F202" s="320"/>
      <c r="G202" s="319"/>
    </row>
    <row r="203" spans="3:7" ht="12" customHeight="1">
      <c r="C203" s="320"/>
      <c r="D203" s="320"/>
      <c r="E203" s="320"/>
      <c r="F203" s="320"/>
      <c r="G203" s="319"/>
    </row>
    <row r="204" spans="3:7" ht="12" customHeight="1">
      <c r="C204" s="320"/>
      <c r="D204" s="320"/>
      <c r="E204" s="320"/>
      <c r="F204" s="320"/>
      <c r="G204" s="319"/>
    </row>
    <row r="205" spans="3:7" ht="12" customHeight="1">
      <c r="C205" s="320"/>
      <c r="D205" s="320"/>
      <c r="E205" s="320"/>
      <c r="F205" s="320"/>
      <c r="G205" s="319"/>
    </row>
    <row r="206" spans="3:7" ht="12" customHeight="1">
      <c r="C206" s="320"/>
      <c r="D206" s="320"/>
      <c r="E206" s="320"/>
      <c r="F206" s="320"/>
      <c r="G206" s="319"/>
    </row>
    <row r="207" spans="3:7" ht="12" customHeight="1">
      <c r="C207" s="320"/>
      <c r="D207" s="320"/>
      <c r="E207" s="320"/>
      <c r="F207" s="320"/>
      <c r="G207" s="319"/>
    </row>
    <row r="208" spans="3:7" ht="12" customHeight="1">
      <c r="C208" s="320"/>
      <c r="D208" s="320"/>
      <c r="E208" s="320"/>
      <c r="F208" s="320"/>
      <c r="G208" s="319"/>
    </row>
    <row r="209" spans="3:7" ht="12" customHeight="1">
      <c r="C209" s="320"/>
      <c r="D209" s="320"/>
      <c r="E209" s="320"/>
      <c r="F209" s="320"/>
      <c r="G209" s="319"/>
    </row>
    <row r="210" spans="3:7" ht="12" customHeight="1">
      <c r="C210" s="320"/>
      <c r="D210" s="320"/>
      <c r="E210" s="320"/>
      <c r="F210" s="320"/>
      <c r="G210" s="319"/>
    </row>
    <row r="211" spans="3:7" ht="12" customHeight="1">
      <c r="C211" s="320"/>
      <c r="D211" s="320"/>
      <c r="E211" s="320"/>
      <c r="F211" s="320"/>
      <c r="G211" s="319"/>
    </row>
    <row r="212" spans="3:7" ht="12" customHeight="1">
      <c r="C212" s="320"/>
      <c r="D212" s="320"/>
      <c r="E212" s="320"/>
      <c r="F212" s="320"/>
      <c r="G212" s="319"/>
    </row>
    <row r="213" spans="3:7" ht="12" customHeight="1">
      <c r="C213" s="320"/>
      <c r="D213" s="320"/>
      <c r="E213" s="320"/>
      <c r="F213" s="320"/>
      <c r="G213" s="319"/>
    </row>
    <row r="214" spans="3:7" ht="12" customHeight="1">
      <c r="C214" s="320"/>
      <c r="D214" s="320"/>
      <c r="E214" s="320"/>
      <c r="F214" s="320"/>
      <c r="G214" s="319"/>
    </row>
    <row r="215" spans="3:7" ht="12" customHeight="1">
      <c r="C215" s="320"/>
      <c r="D215" s="320"/>
      <c r="E215" s="320"/>
      <c r="F215" s="320"/>
      <c r="G215" s="319"/>
    </row>
    <row r="216" spans="3:7" ht="12" customHeight="1">
      <c r="C216" s="320"/>
      <c r="D216" s="320"/>
      <c r="E216" s="320"/>
      <c r="F216" s="320"/>
      <c r="G216" s="319"/>
    </row>
    <row r="217" spans="3:7" ht="12" customHeight="1">
      <c r="C217" s="320"/>
      <c r="D217" s="320"/>
      <c r="E217" s="320"/>
      <c r="F217" s="320"/>
      <c r="G217" s="319"/>
    </row>
    <row r="218" spans="3:7" ht="12" customHeight="1">
      <c r="C218" s="320"/>
      <c r="D218" s="320"/>
      <c r="E218" s="320"/>
      <c r="F218" s="320"/>
      <c r="G218" s="319"/>
    </row>
    <row r="219" spans="3:7" ht="12" customHeight="1">
      <c r="C219" s="320"/>
      <c r="D219" s="320"/>
      <c r="E219" s="320"/>
      <c r="F219" s="320"/>
      <c r="G219" s="319"/>
    </row>
    <row r="220" spans="3:7" ht="12" customHeight="1">
      <c r="C220" s="320"/>
      <c r="D220" s="320"/>
      <c r="E220" s="320"/>
      <c r="F220" s="320"/>
      <c r="G220" s="319"/>
    </row>
  </sheetData>
  <mergeCells count="72">
    <mergeCell ref="J99:J100"/>
    <mergeCell ref="K99:K100"/>
    <mergeCell ref="K101:K114"/>
    <mergeCell ref="A115:I115"/>
    <mergeCell ref="H99:H100"/>
    <mergeCell ref="A99:A100"/>
    <mergeCell ref="B99:B100"/>
    <mergeCell ref="C99:C100"/>
    <mergeCell ref="D99:D100"/>
    <mergeCell ref="E99:G99"/>
    <mergeCell ref="J80:J81"/>
    <mergeCell ref="K80:K81"/>
    <mergeCell ref="K82:K95"/>
    <mergeCell ref="A96:I96"/>
    <mergeCell ref="A80:A81"/>
    <mergeCell ref="B80:B81"/>
    <mergeCell ref="C80:C81"/>
    <mergeCell ref="D80:D81"/>
    <mergeCell ref="E80:G80"/>
    <mergeCell ref="H80:H81"/>
    <mergeCell ref="J61:J62"/>
    <mergeCell ref="K61:K62"/>
    <mergeCell ref="K63:K76"/>
    <mergeCell ref="A77:I77"/>
    <mergeCell ref="A79:B79"/>
    <mergeCell ref="D79:E79"/>
    <mergeCell ref="A61:A62"/>
    <mergeCell ref="B61:B62"/>
    <mergeCell ref="C61:C62"/>
    <mergeCell ref="D61:D62"/>
    <mergeCell ref="E61:G61"/>
    <mergeCell ref="H61:H62"/>
    <mergeCell ref="J42:J43"/>
    <mergeCell ref="K42:K43"/>
    <mergeCell ref="K44:K57"/>
    <mergeCell ref="A58:I58"/>
    <mergeCell ref="A60:B60"/>
    <mergeCell ref="D60:E60"/>
    <mergeCell ref="A42:A43"/>
    <mergeCell ref="B42:B43"/>
    <mergeCell ref="C42:C43"/>
    <mergeCell ref="D42:D43"/>
    <mergeCell ref="E42:G42"/>
    <mergeCell ref="H42:H43"/>
    <mergeCell ref="J23:J24"/>
    <mergeCell ref="K23:K24"/>
    <mergeCell ref="K25:K38"/>
    <mergeCell ref="A39:I39"/>
    <mergeCell ref="A41:B41"/>
    <mergeCell ref="D41:E41"/>
    <mergeCell ref="A23:A24"/>
    <mergeCell ref="B23:B24"/>
    <mergeCell ref="C23:C24"/>
    <mergeCell ref="D23:D24"/>
    <mergeCell ref="E23:G23"/>
    <mergeCell ref="H23:H24"/>
    <mergeCell ref="H4:H5"/>
    <mergeCell ref="J4:J5"/>
    <mergeCell ref="K4:K5"/>
    <mergeCell ref="K6:K19"/>
    <mergeCell ref="A20:I20"/>
    <mergeCell ref="D98:E98"/>
    <mergeCell ref="A98:B98"/>
    <mergeCell ref="A22:B22"/>
    <mergeCell ref="D22:E22"/>
    <mergeCell ref="A3:B3"/>
    <mergeCell ref="D3:E3"/>
    <mergeCell ref="A4:A5"/>
    <mergeCell ref="B4:B5"/>
    <mergeCell ref="C4:C5"/>
    <mergeCell ref="D4:D5"/>
    <mergeCell ref="E4:G4"/>
  </mergeCells>
  <phoneticPr fontId="2" type="noConversion"/>
  <dataValidations disablePrompts="1" count="1">
    <dataValidation type="list" allowBlank="1" showInputMessage="1" showErrorMessage="1" sqref="I101:I114 I82:I95 I6:I19 I25:I38 I44:I57 I63:I76">
      <formula1>$S$8:$S$9</formula1>
    </dataValidation>
  </dataValidations>
  <pageMargins left="0.74803149606299213" right="0.74803149606299213" top="0.78740157480314965" bottom="0.78740157480314965" header="0.51181102362204722" footer="0.51181102362204722"/>
  <pageSetup paperSize="9" scale="87" fitToHeight="3" orientation="landscape" r:id="rId1"/>
  <headerFooter alignWithMargins="0"/>
  <rowBreaks count="5" manualBreakCount="5">
    <brk id="21" max="10" man="1"/>
    <brk id="40" max="10" man="1"/>
    <brk id="59" max="10" man="1"/>
    <brk id="78" max="10" man="1"/>
    <brk id="97" max="10" man="1"/>
  </rowBreaks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35" enableFormatConditionsCalculation="0">
    <tabColor indexed="43"/>
    <pageSetUpPr fitToPage="1"/>
  </sheetPr>
  <dimension ref="A1:W133"/>
  <sheetViews>
    <sheetView view="pageBreakPreview" zoomScaleNormal="85" zoomScaleSheetLayoutView="100" workbookViewId="0">
      <pane xSplit="3" topLeftCell="D1" activePane="topRight" state="frozen"/>
      <selection activeCell="I42" sqref="I42"/>
      <selection pane="topRight" activeCell="G16" sqref="G16"/>
    </sheetView>
  </sheetViews>
  <sheetFormatPr defaultRowHeight="12" customHeight="1"/>
  <cols>
    <col min="1" max="1" width="3.77734375" style="318" customWidth="1"/>
    <col min="2" max="2" width="31.21875" style="324" customWidth="1"/>
    <col min="3" max="3" width="26.77734375" style="324" customWidth="1"/>
    <col min="4" max="4" width="10.5546875" style="324" customWidth="1"/>
    <col min="5" max="6" width="10.33203125" style="324" bestFit="1" customWidth="1"/>
    <col min="7" max="7" width="6.21875" style="325" bestFit="1" customWidth="1"/>
    <col min="8" max="8" width="10.33203125" style="336" bestFit="1" customWidth="1"/>
    <col min="9" max="9" width="10.109375" style="336" bestFit="1" customWidth="1"/>
    <col min="10" max="10" width="6.21875" style="335" bestFit="1" customWidth="1"/>
    <col min="11" max="11" width="7.77734375" style="335" customWidth="1"/>
    <col min="12" max="13" width="8.77734375" style="321" customWidth="1"/>
    <col min="14" max="14" width="8.33203125" style="322" customWidth="1"/>
    <col min="15" max="15" width="5.33203125" style="323" customWidth="1"/>
    <col min="16" max="16384" width="8.88671875" style="323"/>
  </cols>
  <sheetData>
    <row r="1" spans="1:23" s="279" customFormat="1" ht="23.25" customHeight="1">
      <c r="A1" s="986" t="s">
        <v>252</v>
      </c>
      <c r="B1" s="986"/>
      <c r="C1" s="274" t="s">
        <v>2</v>
      </c>
      <c r="D1" s="275"/>
      <c r="E1" s="275"/>
      <c r="F1" s="275"/>
      <c r="G1" s="275"/>
      <c r="H1" s="276"/>
      <c r="I1" s="276"/>
      <c r="J1" s="276"/>
      <c r="K1" s="276"/>
      <c r="L1" s="276"/>
      <c r="M1" s="276"/>
      <c r="N1" s="277"/>
      <c r="O1" s="278"/>
    </row>
    <row r="2" spans="1:23" s="284" customFormat="1" ht="9" customHeight="1" thickBot="1">
      <c r="A2" s="280"/>
      <c r="B2" s="281"/>
      <c r="C2" s="280"/>
      <c r="D2" s="280"/>
      <c r="E2" s="280"/>
      <c r="F2" s="280"/>
      <c r="G2" s="280"/>
      <c r="H2" s="282"/>
      <c r="I2" s="282"/>
      <c r="J2" s="282"/>
      <c r="K2" s="282"/>
      <c r="L2" s="282"/>
      <c r="M2" s="282"/>
      <c r="N2" s="283"/>
    </row>
    <row r="3" spans="1:23" s="286" customFormat="1" ht="24.95" customHeight="1">
      <c r="A3" s="987" t="s">
        <v>6</v>
      </c>
      <c r="B3" s="989" t="s">
        <v>7</v>
      </c>
      <c r="C3" s="980" t="s">
        <v>8</v>
      </c>
      <c r="D3" s="980" t="s">
        <v>253</v>
      </c>
      <c r="E3" s="991" t="s">
        <v>384</v>
      </c>
      <c r="F3" s="992"/>
      <c r="G3" s="992"/>
      <c r="H3" s="1000" t="s">
        <v>385</v>
      </c>
      <c r="I3" s="1005"/>
      <c r="J3" s="1001"/>
      <c r="K3" s="978" t="s">
        <v>217</v>
      </c>
      <c r="L3" s="1000" t="s">
        <v>214</v>
      </c>
      <c r="M3" s="1001"/>
      <c r="N3" s="978" t="s">
        <v>3</v>
      </c>
      <c r="O3" s="982" t="s">
        <v>9</v>
      </c>
    </row>
    <row r="4" spans="1:23" s="286" customFormat="1" ht="24.95" customHeight="1">
      <c r="A4" s="988"/>
      <c r="B4" s="990"/>
      <c r="C4" s="981"/>
      <c r="D4" s="981"/>
      <c r="E4" s="287" t="s">
        <v>387</v>
      </c>
      <c r="F4" s="287" t="s">
        <v>388</v>
      </c>
      <c r="G4" s="287" t="s">
        <v>179</v>
      </c>
      <c r="H4" s="287" t="s">
        <v>389</v>
      </c>
      <c r="I4" s="287" t="s">
        <v>390</v>
      </c>
      <c r="J4" s="287" t="s">
        <v>180</v>
      </c>
      <c r="K4" s="979"/>
      <c r="L4" s="143" t="s">
        <v>215</v>
      </c>
      <c r="M4" s="144" t="s">
        <v>216</v>
      </c>
      <c r="N4" s="979"/>
      <c r="O4" s="983"/>
    </row>
    <row r="5" spans="1:23" s="296" customFormat="1" ht="24.95" customHeight="1">
      <c r="A5" s="289">
        <v>1</v>
      </c>
      <c r="B5" s="290" t="s">
        <v>172</v>
      </c>
      <c r="C5" s="290" t="s">
        <v>4</v>
      </c>
      <c r="D5" s="291" t="s">
        <v>10</v>
      </c>
      <c r="E5" s="292">
        <v>34645</v>
      </c>
      <c r="F5" s="292">
        <v>36522</v>
      </c>
      <c r="G5" s="330">
        <f>IF(F5-E5&gt;=90,F5-E5,0)</f>
        <v>1877</v>
      </c>
      <c r="H5" s="292">
        <v>34645</v>
      </c>
      <c r="I5" s="292">
        <v>36522</v>
      </c>
      <c r="J5" s="330">
        <f>IF(I5-H5&gt;=30,I5-H5,0)</f>
        <v>1877</v>
      </c>
      <c r="K5" s="331">
        <f>J5/G5</f>
        <v>1</v>
      </c>
      <c r="L5" s="295">
        <v>1</v>
      </c>
      <c r="M5" s="332">
        <v>0.6</v>
      </c>
      <c r="N5" s="333">
        <f>ROUND(K5*L5*M5,2)</f>
        <v>0.6</v>
      </c>
      <c r="O5" s="984"/>
    </row>
    <row r="6" spans="1:23" s="298" customFormat="1" ht="24.95" customHeight="1">
      <c r="A6" s="297">
        <v>2</v>
      </c>
      <c r="B6" s="290" t="s">
        <v>173</v>
      </c>
      <c r="C6" s="290" t="s">
        <v>4</v>
      </c>
      <c r="D6" s="291" t="s">
        <v>10</v>
      </c>
      <c r="E6" s="292">
        <v>34692</v>
      </c>
      <c r="F6" s="292">
        <v>37063</v>
      </c>
      <c r="G6" s="330">
        <f t="shared" ref="G6:G18" si="0">IF(F6-E6&gt;=90,F6-E6,0)</f>
        <v>2371</v>
      </c>
      <c r="H6" s="292">
        <v>34692</v>
      </c>
      <c r="I6" s="292">
        <v>36525</v>
      </c>
      <c r="J6" s="330">
        <f t="shared" ref="J6:J18" si="1">IF(I6-H6&gt;=30,I6-H6,0)</f>
        <v>1833</v>
      </c>
      <c r="K6" s="331">
        <f t="shared" ref="K6:K18" si="2">J6/G6</f>
        <v>0.7730915225643189</v>
      </c>
      <c r="L6" s="295">
        <v>0.6</v>
      </c>
      <c r="M6" s="332">
        <v>0.6</v>
      </c>
      <c r="N6" s="333">
        <f t="shared" ref="N6:N18" si="3">ROUND(K6*L6*M6,2)</f>
        <v>0.28000000000000003</v>
      </c>
      <c r="O6" s="985"/>
      <c r="W6" s="299" t="s">
        <v>251</v>
      </c>
    </row>
    <row r="7" spans="1:23" s="298" customFormat="1" ht="24.95" customHeight="1">
      <c r="A7" s="297">
        <v>3</v>
      </c>
      <c r="B7" s="290" t="s">
        <v>174</v>
      </c>
      <c r="C7" s="290" t="s">
        <v>4</v>
      </c>
      <c r="D7" s="291" t="s">
        <v>10</v>
      </c>
      <c r="E7" s="292">
        <v>34967</v>
      </c>
      <c r="F7" s="292">
        <v>36871</v>
      </c>
      <c r="G7" s="330">
        <f t="shared" si="0"/>
        <v>1904</v>
      </c>
      <c r="H7" s="292">
        <v>34967</v>
      </c>
      <c r="I7" s="292">
        <v>36871</v>
      </c>
      <c r="J7" s="330">
        <f t="shared" si="1"/>
        <v>1904</v>
      </c>
      <c r="K7" s="331">
        <f t="shared" si="2"/>
        <v>1</v>
      </c>
      <c r="L7" s="295">
        <v>1</v>
      </c>
      <c r="M7" s="332">
        <v>1</v>
      </c>
      <c r="N7" s="333">
        <f t="shared" si="3"/>
        <v>1</v>
      </c>
      <c r="O7" s="985"/>
      <c r="W7" s="300">
        <v>1</v>
      </c>
    </row>
    <row r="8" spans="1:23" s="298" customFormat="1" ht="24.95" customHeight="1">
      <c r="A8" s="297">
        <v>4</v>
      </c>
      <c r="B8" s="290" t="s">
        <v>175</v>
      </c>
      <c r="C8" s="290" t="s">
        <v>4</v>
      </c>
      <c r="D8" s="291" t="s">
        <v>10</v>
      </c>
      <c r="E8" s="292">
        <v>36194</v>
      </c>
      <c r="F8" s="292">
        <v>37008</v>
      </c>
      <c r="G8" s="330">
        <f t="shared" si="0"/>
        <v>814</v>
      </c>
      <c r="H8" s="292">
        <v>36194</v>
      </c>
      <c r="I8" s="292">
        <v>37008</v>
      </c>
      <c r="J8" s="330">
        <f t="shared" si="1"/>
        <v>814</v>
      </c>
      <c r="K8" s="331">
        <f t="shared" si="2"/>
        <v>1</v>
      </c>
      <c r="L8" s="295">
        <v>0.6</v>
      </c>
      <c r="M8" s="332">
        <v>1</v>
      </c>
      <c r="N8" s="333">
        <f t="shared" si="3"/>
        <v>0.6</v>
      </c>
      <c r="O8" s="985"/>
      <c r="W8" s="300">
        <v>0.6</v>
      </c>
    </row>
    <row r="9" spans="1:23" s="298" customFormat="1" ht="24.95" customHeight="1">
      <c r="A9" s="297">
        <v>5</v>
      </c>
      <c r="B9" s="290" t="s">
        <v>11</v>
      </c>
      <c r="C9" s="290" t="s">
        <v>4</v>
      </c>
      <c r="D9" s="291" t="s">
        <v>10</v>
      </c>
      <c r="E9" s="292">
        <v>37369</v>
      </c>
      <c r="F9" s="292">
        <v>37954</v>
      </c>
      <c r="G9" s="330">
        <f t="shared" si="0"/>
        <v>585</v>
      </c>
      <c r="H9" s="292">
        <v>37369</v>
      </c>
      <c r="I9" s="292">
        <v>37954</v>
      </c>
      <c r="J9" s="330">
        <f t="shared" si="1"/>
        <v>585</v>
      </c>
      <c r="K9" s="331">
        <f t="shared" si="2"/>
        <v>1</v>
      </c>
      <c r="L9" s="295">
        <v>1</v>
      </c>
      <c r="M9" s="332">
        <v>0.6</v>
      </c>
      <c r="N9" s="333">
        <f t="shared" si="3"/>
        <v>0.6</v>
      </c>
      <c r="O9" s="985"/>
    </row>
    <row r="10" spans="1:23" s="296" customFormat="1" ht="24.95" customHeight="1">
      <c r="A10" s="297">
        <v>7</v>
      </c>
      <c r="B10" s="290" t="s">
        <v>176</v>
      </c>
      <c r="C10" s="290" t="s">
        <v>4</v>
      </c>
      <c r="D10" s="291" t="s">
        <v>10</v>
      </c>
      <c r="E10" s="292">
        <v>37673</v>
      </c>
      <c r="F10" s="292">
        <v>38929</v>
      </c>
      <c r="G10" s="330">
        <f t="shared" si="0"/>
        <v>1256</v>
      </c>
      <c r="H10" s="292">
        <v>37673</v>
      </c>
      <c r="I10" s="292">
        <v>38929</v>
      </c>
      <c r="J10" s="330">
        <f t="shared" si="1"/>
        <v>1256</v>
      </c>
      <c r="K10" s="331">
        <f t="shared" si="2"/>
        <v>1</v>
      </c>
      <c r="L10" s="295">
        <v>0.6</v>
      </c>
      <c r="M10" s="332">
        <v>0.6</v>
      </c>
      <c r="N10" s="333">
        <f t="shared" si="3"/>
        <v>0.36</v>
      </c>
      <c r="O10" s="985"/>
    </row>
    <row r="11" spans="1:23" s="296" customFormat="1" ht="24.95" customHeight="1">
      <c r="A11" s="297">
        <v>8</v>
      </c>
      <c r="B11" s="290" t="s">
        <v>177</v>
      </c>
      <c r="C11" s="290" t="s">
        <v>4</v>
      </c>
      <c r="D11" s="291" t="s">
        <v>10</v>
      </c>
      <c r="E11" s="292">
        <v>38240</v>
      </c>
      <c r="F11" s="292">
        <v>39562</v>
      </c>
      <c r="G11" s="330">
        <f t="shared" si="0"/>
        <v>1322</v>
      </c>
      <c r="H11" s="292">
        <v>38240</v>
      </c>
      <c r="I11" s="292">
        <v>39562</v>
      </c>
      <c r="J11" s="330">
        <f t="shared" si="1"/>
        <v>1322</v>
      </c>
      <c r="K11" s="331">
        <f t="shared" si="2"/>
        <v>1</v>
      </c>
      <c r="L11" s="295">
        <v>1</v>
      </c>
      <c r="M11" s="332">
        <v>1</v>
      </c>
      <c r="N11" s="333">
        <f t="shared" si="3"/>
        <v>1</v>
      </c>
      <c r="O11" s="985"/>
    </row>
    <row r="12" spans="1:23" s="296" customFormat="1" ht="24.95" customHeight="1">
      <c r="A12" s="297">
        <v>9</v>
      </c>
      <c r="B12" s="290" t="s">
        <v>12</v>
      </c>
      <c r="C12" s="290" t="s">
        <v>4</v>
      </c>
      <c r="D12" s="291" t="s">
        <v>10</v>
      </c>
      <c r="E12" s="292">
        <v>38078</v>
      </c>
      <c r="F12" s="292">
        <v>38660</v>
      </c>
      <c r="G12" s="330">
        <f t="shared" si="0"/>
        <v>582</v>
      </c>
      <c r="H12" s="292">
        <v>38078</v>
      </c>
      <c r="I12" s="292">
        <v>38660</v>
      </c>
      <c r="J12" s="330">
        <f t="shared" si="1"/>
        <v>582</v>
      </c>
      <c r="K12" s="331">
        <f t="shared" si="2"/>
        <v>1</v>
      </c>
      <c r="L12" s="295">
        <v>0.6</v>
      </c>
      <c r="M12" s="332">
        <v>1</v>
      </c>
      <c r="N12" s="333">
        <f t="shared" si="3"/>
        <v>0.6</v>
      </c>
      <c r="O12" s="985"/>
    </row>
    <row r="13" spans="1:23" s="296" customFormat="1" ht="24.95" customHeight="1">
      <c r="A13" s="297">
        <v>10</v>
      </c>
      <c r="B13" s="290" t="s">
        <v>13</v>
      </c>
      <c r="C13" s="290" t="s">
        <v>4</v>
      </c>
      <c r="D13" s="291" t="s">
        <v>10</v>
      </c>
      <c r="E13" s="301">
        <v>38127</v>
      </c>
      <c r="F13" s="301">
        <v>38717</v>
      </c>
      <c r="G13" s="330">
        <f t="shared" si="0"/>
        <v>590</v>
      </c>
      <c r="H13" s="292">
        <v>38127</v>
      </c>
      <c r="I13" s="292">
        <v>38717</v>
      </c>
      <c r="J13" s="330">
        <f t="shared" si="1"/>
        <v>590</v>
      </c>
      <c r="K13" s="331">
        <f t="shared" si="2"/>
        <v>1</v>
      </c>
      <c r="L13" s="295">
        <v>1</v>
      </c>
      <c r="M13" s="332">
        <v>0.6</v>
      </c>
      <c r="N13" s="333">
        <f t="shared" si="3"/>
        <v>0.6</v>
      </c>
      <c r="O13" s="985"/>
    </row>
    <row r="14" spans="1:23" s="296" customFormat="1" ht="24.95" customHeight="1">
      <c r="A14" s="297">
        <v>11</v>
      </c>
      <c r="B14" s="290" t="s">
        <v>14</v>
      </c>
      <c r="C14" s="290" t="s">
        <v>4</v>
      </c>
      <c r="D14" s="291" t="s">
        <v>10</v>
      </c>
      <c r="E14" s="301">
        <v>38098</v>
      </c>
      <c r="F14" s="292">
        <v>38717</v>
      </c>
      <c r="G14" s="330">
        <f t="shared" si="0"/>
        <v>619</v>
      </c>
      <c r="H14" s="292">
        <v>38098</v>
      </c>
      <c r="I14" s="292">
        <v>38656</v>
      </c>
      <c r="J14" s="330">
        <f t="shared" si="1"/>
        <v>558</v>
      </c>
      <c r="K14" s="331">
        <f t="shared" si="2"/>
        <v>0.90145395799676897</v>
      </c>
      <c r="L14" s="295">
        <v>0.6</v>
      </c>
      <c r="M14" s="332">
        <v>0.6</v>
      </c>
      <c r="N14" s="333">
        <f t="shared" si="3"/>
        <v>0.32</v>
      </c>
      <c r="O14" s="985"/>
    </row>
    <row r="15" spans="1:23" s="296" customFormat="1" ht="24.95" customHeight="1">
      <c r="A15" s="297">
        <v>12</v>
      </c>
      <c r="B15" s="290" t="s">
        <v>15</v>
      </c>
      <c r="C15" s="290" t="s">
        <v>4</v>
      </c>
      <c r="D15" s="291" t="s">
        <v>10</v>
      </c>
      <c r="E15" s="301">
        <v>37376</v>
      </c>
      <c r="F15" s="301">
        <v>38730</v>
      </c>
      <c r="G15" s="330">
        <f t="shared" si="0"/>
        <v>1354</v>
      </c>
      <c r="H15" s="292">
        <v>38472</v>
      </c>
      <c r="I15" s="292">
        <v>38730</v>
      </c>
      <c r="J15" s="330">
        <f t="shared" si="1"/>
        <v>258</v>
      </c>
      <c r="K15" s="331">
        <f t="shared" si="2"/>
        <v>0.19054652880354506</v>
      </c>
      <c r="L15" s="295">
        <v>1</v>
      </c>
      <c r="M15" s="332">
        <v>1</v>
      </c>
      <c r="N15" s="333">
        <f t="shared" si="3"/>
        <v>0.19</v>
      </c>
      <c r="O15" s="985"/>
    </row>
    <row r="16" spans="1:23" s="296" customFormat="1" ht="24.95" customHeight="1">
      <c r="A16" s="297">
        <v>13</v>
      </c>
      <c r="B16" s="290" t="s">
        <v>16</v>
      </c>
      <c r="C16" s="290" t="s">
        <v>4</v>
      </c>
      <c r="D16" s="291" t="s">
        <v>10</v>
      </c>
      <c r="E16" s="301">
        <v>38750</v>
      </c>
      <c r="F16" s="292">
        <v>39082</v>
      </c>
      <c r="G16" s="330">
        <f t="shared" si="0"/>
        <v>332</v>
      </c>
      <c r="H16" s="292">
        <v>38750</v>
      </c>
      <c r="I16" s="292">
        <v>39082</v>
      </c>
      <c r="J16" s="330">
        <f t="shared" si="1"/>
        <v>332</v>
      </c>
      <c r="K16" s="331">
        <f t="shared" si="2"/>
        <v>1</v>
      </c>
      <c r="L16" s="295">
        <v>0.6</v>
      </c>
      <c r="M16" s="332">
        <v>1</v>
      </c>
      <c r="N16" s="333">
        <f t="shared" si="3"/>
        <v>0.6</v>
      </c>
      <c r="O16" s="985"/>
    </row>
    <row r="17" spans="1:15" s="296" customFormat="1" ht="24.95" customHeight="1">
      <c r="A17" s="297">
        <v>15</v>
      </c>
      <c r="B17" s="290" t="s">
        <v>178</v>
      </c>
      <c r="C17" s="290" t="s">
        <v>4</v>
      </c>
      <c r="D17" s="291" t="s">
        <v>10</v>
      </c>
      <c r="E17" s="301">
        <v>37435</v>
      </c>
      <c r="F17" s="292">
        <v>39414</v>
      </c>
      <c r="G17" s="330">
        <f t="shared" si="0"/>
        <v>1979</v>
      </c>
      <c r="H17" s="292">
        <v>37435</v>
      </c>
      <c r="I17" s="292">
        <v>39414</v>
      </c>
      <c r="J17" s="330">
        <f t="shared" si="1"/>
        <v>1979</v>
      </c>
      <c r="K17" s="331">
        <f t="shared" si="2"/>
        <v>1</v>
      </c>
      <c r="L17" s="295">
        <v>1</v>
      </c>
      <c r="M17" s="332">
        <v>1</v>
      </c>
      <c r="N17" s="333">
        <f t="shared" si="3"/>
        <v>1</v>
      </c>
      <c r="O17" s="985"/>
    </row>
    <row r="18" spans="1:15" s="296" customFormat="1" ht="24.95" customHeight="1">
      <c r="A18" s="297">
        <v>16</v>
      </c>
      <c r="B18" s="290" t="s">
        <v>17</v>
      </c>
      <c r="C18" s="290" t="s">
        <v>4</v>
      </c>
      <c r="D18" s="291" t="s">
        <v>10</v>
      </c>
      <c r="E18" s="301">
        <v>38834</v>
      </c>
      <c r="F18" s="301">
        <v>39482</v>
      </c>
      <c r="G18" s="330">
        <f t="shared" si="0"/>
        <v>648</v>
      </c>
      <c r="H18" s="292">
        <v>38834</v>
      </c>
      <c r="I18" s="292">
        <v>39482</v>
      </c>
      <c r="J18" s="330">
        <f t="shared" si="1"/>
        <v>648</v>
      </c>
      <c r="K18" s="331">
        <f t="shared" si="2"/>
        <v>1</v>
      </c>
      <c r="L18" s="295">
        <v>1</v>
      </c>
      <c r="M18" s="332">
        <v>1</v>
      </c>
      <c r="N18" s="333">
        <f t="shared" si="3"/>
        <v>1</v>
      </c>
      <c r="O18" s="985"/>
    </row>
    <row r="19" spans="1:15" s="298" customFormat="1" ht="24.95" customHeight="1" thickBot="1">
      <c r="A19" s="974" t="s">
        <v>5</v>
      </c>
      <c r="B19" s="975"/>
      <c r="C19" s="975"/>
      <c r="D19" s="975"/>
      <c r="E19" s="975"/>
      <c r="F19" s="975"/>
      <c r="G19" s="975"/>
      <c r="H19" s="975"/>
      <c r="I19" s="975"/>
      <c r="J19" s="975"/>
      <c r="K19" s="975"/>
      <c r="L19" s="975"/>
      <c r="M19" s="1002"/>
      <c r="N19" s="334">
        <f>SUM(N5:N18)</f>
        <v>8.75</v>
      </c>
      <c r="O19" s="303"/>
    </row>
    <row r="20" spans="1:15" s="306" customFormat="1" ht="20.100000000000001" customHeight="1">
      <c r="A20" s="304" t="s">
        <v>26</v>
      </c>
      <c r="B20" s="1004" t="s">
        <v>27</v>
      </c>
      <c r="C20" s="1004"/>
      <c r="D20" s="1004"/>
      <c r="E20" s="1004"/>
      <c r="F20" s="1004"/>
      <c r="G20" s="1004"/>
      <c r="H20" s="1004"/>
      <c r="I20" s="1004"/>
      <c r="J20" s="1004"/>
      <c r="K20" s="1004"/>
      <c r="L20" s="1004"/>
      <c r="M20" s="1004"/>
      <c r="N20" s="305"/>
    </row>
    <row r="21" spans="1:15" s="310" customFormat="1" ht="20.100000000000001" customHeight="1">
      <c r="A21" s="307">
        <v>1</v>
      </c>
      <c r="B21" s="308" t="s">
        <v>636</v>
      </c>
      <c r="C21" s="308"/>
      <c r="D21" s="308"/>
      <c r="E21" s="308"/>
      <c r="F21" s="308"/>
      <c r="G21" s="308"/>
      <c r="L21" s="309"/>
      <c r="M21" s="309"/>
    </row>
    <row r="22" spans="1:15" s="312" customFormat="1" ht="20.100000000000001" customHeight="1">
      <c r="A22" s="307">
        <v>2</v>
      </c>
      <c r="B22" s="308" t="s">
        <v>637</v>
      </c>
      <c r="C22" s="308"/>
      <c r="D22" s="308"/>
      <c r="E22" s="311"/>
      <c r="F22" s="311"/>
      <c r="G22" s="311"/>
      <c r="H22" s="311"/>
      <c r="I22" s="311"/>
      <c r="J22" s="311"/>
      <c r="K22" s="311"/>
    </row>
    <row r="23" spans="1:15" s="312" customFormat="1" ht="20.100000000000001" customHeight="1">
      <c r="A23" s="307">
        <v>3</v>
      </c>
      <c r="B23" s="312" t="s">
        <v>162</v>
      </c>
      <c r="C23" s="308"/>
      <c r="D23" s="308"/>
      <c r="E23" s="311"/>
      <c r="F23" s="311"/>
      <c r="G23" s="311"/>
      <c r="H23" s="311"/>
      <c r="I23" s="311"/>
      <c r="J23" s="311"/>
      <c r="K23" s="311"/>
    </row>
    <row r="24" spans="1:15" s="312" customFormat="1" ht="20.100000000000001" customHeight="1">
      <c r="A24" s="307">
        <v>4</v>
      </c>
      <c r="B24" s="308" t="s">
        <v>18</v>
      </c>
      <c r="C24" s="308"/>
      <c r="D24" s="308"/>
      <c r="E24" s="311"/>
      <c r="F24" s="311"/>
      <c r="G24" s="311"/>
      <c r="H24" s="311"/>
      <c r="I24" s="311"/>
      <c r="J24" s="311"/>
      <c r="K24" s="311"/>
    </row>
    <row r="25" spans="1:15" s="310" customFormat="1" ht="20.100000000000001" customHeight="1">
      <c r="A25" s="307">
        <v>5</v>
      </c>
      <c r="B25" s="308" t="s">
        <v>638</v>
      </c>
      <c r="C25" s="308"/>
      <c r="D25" s="308"/>
      <c r="E25" s="308"/>
      <c r="F25" s="308"/>
      <c r="G25" s="308"/>
      <c r="L25" s="309"/>
      <c r="M25" s="309"/>
    </row>
    <row r="26" spans="1:15" s="310" customFormat="1" ht="20.100000000000001" customHeight="1">
      <c r="A26" s="307">
        <v>6</v>
      </c>
      <c r="B26" s="1003" t="s">
        <v>23</v>
      </c>
      <c r="C26" s="1003"/>
      <c r="D26" s="1003"/>
      <c r="E26" s="1003"/>
      <c r="F26" s="1003"/>
      <c r="G26" s="313"/>
      <c r="L26" s="309"/>
      <c r="M26" s="309"/>
    </row>
    <row r="27" spans="1:15" s="310" customFormat="1" ht="20.100000000000001" customHeight="1">
      <c r="A27" s="307">
        <v>7</v>
      </c>
      <c r="B27" s="308" t="s">
        <v>484</v>
      </c>
      <c r="C27" s="308"/>
      <c r="D27" s="308"/>
      <c r="E27" s="308"/>
      <c r="F27" s="308"/>
      <c r="G27" s="308"/>
      <c r="H27" s="308"/>
      <c r="L27" s="309"/>
      <c r="M27" s="309"/>
    </row>
    <row r="28" spans="1:15" s="310" customFormat="1" ht="20.100000000000001" customHeight="1">
      <c r="A28" s="307">
        <v>8</v>
      </c>
      <c r="B28" s="314" t="s">
        <v>485</v>
      </c>
      <c r="C28" s="314"/>
      <c r="D28" s="314"/>
      <c r="E28" s="308"/>
      <c r="F28" s="308"/>
      <c r="G28" s="308"/>
      <c r="L28" s="309"/>
      <c r="M28" s="309"/>
    </row>
    <row r="29" spans="1:15" s="310" customFormat="1" ht="15" customHeight="1">
      <c r="B29" s="314"/>
      <c r="C29" s="314"/>
      <c r="D29" s="314"/>
      <c r="E29" s="308"/>
      <c r="F29" s="308"/>
      <c r="G29" s="308"/>
      <c r="L29" s="309"/>
      <c r="M29" s="309"/>
    </row>
    <row r="30" spans="1:15" s="306" customFormat="1" ht="15" customHeight="1">
      <c r="A30" s="308"/>
      <c r="B30" s="308"/>
      <c r="C30" s="308"/>
      <c r="D30" s="308"/>
      <c r="E30" s="315"/>
      <c r="F30" s="315"/>
      <c r="G30" s="315"/>
      <c r="H30" s="310"/>
      <c r="I30" s="310"/>
      <c r="J30" s="310"/>
      <c r="K30" s="310"/>
      <c r="L30" s="316"/>
      <c r="M30" s="316"/>
      <c r="N30" s="317"/>
    </row>
    <row r="31" spans="1:15" ht="15" customHeight="1">
      <c r="B31" s="319"/>
      <c r="C31" s="319"/>
      <c r="D31" s="319"/>
      <c r="E31" s="320"/>
      <c r="F31" s="320"/>
      <c r="G31" s="319"/>
      <c r="H31" s="335"/>
      <c r="I31" s="335"/>
    </row>
    <row r="32" spans="1:15" ht="15" customHeight="1">
      <c r="C32" s="320"/>
      <c r="D32" s="320"/>
      <c r="E32" s="320"/>
      <c r="F32" s="320"/>
      <c r="G32" s="319"/>
      <c r="H32" s="335"/>
      <c r="I32" s="335"/>
    </row>
    <row r="33" spans="3:9" ht="15" customHeight="1">
      <c r="C33" s="320"/>
      <c r="D33" s="320"/>
      <c r="E33" s="320"/>
      <c r="F33" s="320"/>
      <c r="G33" s="319"/>
      <c r="H33" s="335"/>
      <c r="I33" s="335"/>
    </row>
    <row r="34" spans="3:9" ht="12" customHeight="1">
      <c r="C34" s="320"/>
      <c r="D34" s="320"/>
      <c r="E34" s="320"/>
      <c r="F34" s="320"/>
      <c r="G34" s="319"/>
      <c r="H34" s="335"/>
      <c r="I34" s="335"/>
    </row>
    <row r="35" spans="3:9" ht="12" customHeight="1">
      <c r="C35" s="320"/>
      <c r="D35" s="320"/>
      <c r="E35" s="320"/>
      <c r="F35" s="320"/>
      <c r="G35" s="319"/>
      <c r="H35" s="335"/>
      <c r="I35" s="335"/>
    </row>
    <row r="36" spans="3:9" ht="12" customHeight="1">
      <c r="C36" s="320"/>
      <c r="D36" s="320"/>
      <c r="E36" s="320"/>
      <c r="F36" s="320"/>
      <c r="G36" s="319"/>
      <c r="H36" s="335"/>
      <c r="I36" s="335"/>
    </row>
    <row r="37" spans="3:9" ht="12" customHeight="1">
      <c r="C37" s="320"/>
      <c r="D37" s="320"/>
      <c r="E37" s="320"/>
      <c r="F37" s="320"/>
      <c r="G37" s="319"/>
      <c r="H37" s="335"/>
      <c r="I37" s="335"/>
    </row>
    <row r="38" spans="3:9" ht="12" customHeight="1">
      <c r="C38" s="320"/>
      <c r="D38" s="320"/>
      <c r="E38" s="320"/>
      <c r="F38" s="320"/>
      <c r="G38" s="319"/>
      <c r="H38" s="335"/>
      <c r="I38" s="335"/>
    </row>
    <row r="39" spans="3:9" ht="12" customHeight="1">
      <c r="C39" s="320"/>
      <c r="D39" s="320"/>
      <c r="E39" s="320"/>
      <c r="F39" s="320"/>
      <c r="G39" s="319"/>
      <c r="H39" s="335"/>
      <c r="I39" s="335"/>
    </row>
    <row r="40" spans="3:9" ht="12" customHeight="1">
      <c r="C40" s="320"/>
      <c r="D40" s="320"/>
      <c r="E40" s="320"/>
      <c r="F40" s="320"/>
      <c r="G40" s="319"/>
      <c r="H40" s="335"/>
      <c r="I40" s="335"/>
    </row>
    <row r="41" spans="3:9" ht="12" customHeight="1">
      <c r="C41" s="320"/>
      <c r="D41" s="320"/>
      <c r="E41" s="320"/>
      <c r="F41" s="320"/>
      <c r="G41" s="319"/>
      <c r="H41" s="335"/>
      <c r="I41" s="335"/>
    </row>
    <row r="42" spans="3:9" ht="12" customHeight="1">
      <c r="C42" s="320"/>
      <c r="D42" s="320"/>
      <c r="E42" s="320"/>
      <c r="F42" s="320"/>
      <c r="G42" s="319"/>
      <c r="H42" s="335"/>
      <c r="I42" s="335"/>
    </row>
    <row r="43" spans="3:9" ht="12" customHeight="1">
      <c r="C43" s="320"/>
      <c r="D43" s="320"/>
      <c r="E43" s="320"/>
      <c r="F43" s="320"/>
      <c r="G43" s="319"/>
      <c r="H43" s="335"/>
      <c r="I43" s="335"/>
    </row>
    <row r="44" spans="3:9" ht="12" customHeight="1">
      <c r="C44" s="320"/>
      <c r="D44" s="320"/>
      <c r="E44" s="320"/>
      <c r="F44" s="320"/>
      <c r="G44" s="319"/>
      <c r="H44" s="335"/>
      <c r="I44" s="335"/>
    </row>
    <row r="45" spans="3:9" ht="12" customHeight="1">
      <c r="C45" s="320"/>
      <c r="D45" s="320"/>
      <c r="E45" s="320"/>
      <c r="F45" s="320"/>
      <c r="G45" s="319"/>
      <c r="H45" s="335"/>
      <c r="I45" s="335"/>
    </row>
    <row r="46" spans="3:9" ht="12" customHeight="1">
      <c r="C46" s="320"/>
      <c r="D46" s="320"/>
      <c r="E46" s="320"/>
      <c r="F46" s="320"/>
      <c r="G46" s="319"/>
      <c r="H46" s="335"/>
      <c r="I46" s="335"/>
    </row>
    <row r="47" spans="3:9" ht="12" customHeight="1">
      <c r="C47" s="320"/>
      <c r="D47" s="320"/>
      <c r="E47" s="320"/>
      <c r="F47" s="320"/>
      <c r="G47" s="319"/>
      <c r="H47" s="335"/>
      <c r="I47" s="335"/>
    </row>
    <row r="48" spans="3:9" ht="12" customHeight="1">
      <c r="C48" s="320"/>
      <c r="D48" s="320"/>
      <c r="E48" s="320"/>
      <c r="F48" s="320"/>
      <c r="G48" s="319"/>
      <c r="H48" s="335"/>
      <c r="I48" s="335"/>
    </row>
    <row r="49" spans="3:9" ht="12" customHeight="1">
      <c r="C49" s="320"/>
      <c r="D49" s="320"/>
      <c r="E49" s="320"/>
      <c r="F49" s="320"/>
      <c r="G49" s="319"/>
      <c r="H49" s="335"/>
      <c r="I49" s="335"/>
    </row>
    <row r="50" spans="3:9" ht="12" customHeight="1">
      <c r="C50" s="320"/>
      <c r="D50" s="320"/>
      <c r="E50" s="320"/>
      <c r="F50" s="320"/>
      <c r="G50" s="319"/>
      <c r="H50" s="335"/>
      <c r="I50" s="335"/>
    </row>
    <row r="51" spans="3:9" ht="12" customHeight="1">
      <c r="C51" s="320"/>
      <c r="D51" s="320"/>
      <c r="E51" s="320"/>
      <c r="F51" s="320"/>
      <c r="G51" s="319"/>
      <c r="H51" s="335"/>
      <c r="I51" s="335"/>
    </row>
    <row r="52" spans="3:9" ht="12" customHeight="1">
      <c r="C52" s="320"/>
      <c r="D52" s="320"/>
      <c r="E52" s="320"/>
      <c r="F52" s="320"/>
      <c r="G52" s="319"/>
      <c r="H52" s="335"/>
      <c r="I52" s="335"/>
    </row>
    <row r="53" spans="3:9" ht="12" customHeight="1">
      <c r="C53" s="320"/>
      <c r="D53" s="320"/>
      <c r="E53" s="320"/>
      <c r="F53" s="320"/>
      <c r="G53" s="319"/>
      <c r="H53" s="335"/>
      <c r="I53" s="335"/>
    </row>
    <row r="54" spans="3:9" ht="12" customHeight="1">
      <c r="C54" s="320"/>
      <c r="D54" s="320"/>
      <c r="E54" s="320"/>
      <c r="F54" s="320"/>
      <c r="G54" s="319"/>
      <c r="H54" s="335"/>
      <c r="I54" s="335"/>
    </row>
    <row r="55" spans="3:9" ht="12" customHeight="1">
      <c r="C55" s="320"/>
      <c r="D55" s="320"/>
      <c r="E55" s="320"/>
      <c r="F55" s="320"/>
      <c r="G55" s="319"/>
      <c r="H55" s="335"/>
      <c r="I55" s="335"/>
    </row>
    <row r="56" spans="3:9" ht="12" customHeight="1">
      <c r="C56" s="320"/>
      <c r="D56" s="320"/>
      <c r="E56" s="320"/>
      <c r="F56" s="320"/>
      <c r="G56" s="319"/>
      <c r="H56" s="335"/>
      <c r="I56" s="335"/>
    </row>
    <row r="57" spans="3:9" ht="12" customHeight="1">
      <c r="C57" s="320"/>
      <c r="D57" s="320"/>
      <c r="E57" s="320"/>
      <c r="F57" s="320"/>
      <c r="G57" s="319"/>
      <c r="H57" s="335"/>
      <c r="I57" s="335"/>
    </row>
    <row r="58" spans="3:9" ht="12" customHeight="1">
      <c r="C58" s="320"/>
      <c r="D58" s="320"/>
      <c r="E58" s="320"/>
      <c r="F58" s="320"/>
      <c r="G58" s="319"/>
      <c r="H58" s="335"/>
      <c r="I58" s="335"/>
    </row>
    <row r="59" spans="3:9" ht="12" customHeight="1">
      <c r="C59" s="320"/>
      <c r="D59" s="320"/>
      <c r="E59" s="320"/>
      <c r="F59" s="320"/>
      <c r="G59" s="319"/>
      <c r="H59" s="335"/>
      <c r="I59" s="335"/>
    </row>
    <row r="60" spans="3:9" ht="12" customHeight="1">
      <c r="C60" s="320"/>
      <c r="D60" s="320"/>
      <c r="E60" s="320"/>
      <c r="F60" s="320"/>
      <c r="G60" s="319"/>
      <c r="H60" s="335"/>
      <c r="I60" s="335"/>
    </row>
    <row r="61" spans="3:9" ht="12" customHeight="1">
      <c r="C61" s="320"/>
      <c r="D61" s="320"/>
      <c r="E61" s="320"/>
      <c r="F61" s="320"/>
      <c r="G61" s="319"/>
      <c r="H61" s="335"/>
      <c r="I61" s="335"/>
    </row>
    <row r="62" spans="3:9" ht="12" customHeight="1">
      <c r="C62" s="320"/>
      <c r="D62" s="320"/>
      <c r="E62" s="320"/>
      <c r="F62" s="320"/>
      <c r="G62" s="319"/>
      <c r="H62" s="335"/>
      <c r="I62" s="335"/>
    </row>
    <row r="63" spans="3:9" ht="12" customHeight="1">
      <c r="C63" s="320"/>
      <c r="D63" s="320"/>
      <c r="E63" s="320"/>
      <c r="F63" s="320"/>
      <c r="G63" s="319"/>
      <c r="H63" s="335"/>
      <c r="I63" s="335"/>
    </row>
    <row r="64" spans="3:9" ht="12" customHeight="1">
      <c r="C64" s="320"/>
      <c r="D64" s="320"/>
      <c r="E64" s="320"/>
      <c r="F64" s="320"/>
      <c r="G64" s="319"/>
      <c r="H64" s="335"/>
      <c r="I64" s="335"/>
    </row>
    <row r="65" spans="3:9" ht="12" customHeight="1">
      <c r="C65" s="320"/>
      <c r="D65" s="320"/>
      <c r="E65" s="320"/>
      <c r="F65" s="320"/>
      <c r="G65" s="319"/>
      <c r="H65" s="335"/>
      <c r="I65" s="335"/>
    </row>
    <row r="66" spans="3:9" ht="12" customHeight="1">
      <c r="C66" s="320"/>
      <c r="D66" s="320"/>
      <c r="E66" s="320"/>
      <c r="F66" s="320"/>
      <c r="G66" s="319"/>
      <c r="H66" s="335"/>
      <c r="I66" s="335"/>
    </row>
    <row r="67" spans="3:9" ht="12" customHeight="1">
      <c r="C67" s="320"/>
      <c r="D67" s="320"/>
      <c r="E67" s="320"/>
      <c r="F67" s="320"/>
      <c r="G67" s="319"/>
      <c r="H67" s="335"/>
      <c r="I67" s="335"/>
    </row>
    <row r="68" spans="3:9" ht="12" customHeight="1">
      <c r="C68" s="320"/>
      <c r="D68" s="320"/>
      <c r="E68" s="320"/>
      <c r="F68" s="320"/>
      <c r="G68" s="319"/>
      <c r="H68" s="335"/>
      <c r="I68" s="335"/>
    </row>
    <row r="69" spans="3:9" ht="12" customHeight="1">
      <c r="C69" s="320"/>
      <c r="D69" s="320"/>
      <c r="E69" s="320"/>
      <c r="F69" s="320"/>
      <c r="G69" s="319"/>
      <c r="H69" s="335"/>
      <c r="I69" s="335"/>
    </row>
    <row r="70" spans="3:9" ht="12" customHeight="1">
      <c r="C70" s="320"/>
      <c r="D70" s="320"/>
      <c r="E70" s="320"/>
      <c r="F70" s="320"/>
      <c r="G70" s="319"/>
      <c r="H70" s="335"/>
      <c r="I70" s="335"/>
    </row>
    <row r="71" spans="3:9" ht="12" customHeight="1">
      <c r="C71" s="320"/>
      <c r="D71" s="320"/>
      <c r="E71" s="320"/>
      <c r="F71" s="320"/>
      <c r="G71" s="319"/>
      <c r="H71" s="335"/>
      <c r="I71" s="335"/>
    </row>
    <row r="72" spans="3:9" ht="12" customHeight="1">
      <c r="C72" s="320"/>
      <c r="D72" s="320"/>
      <c r="E72" s="320"/>
      <c r="F72" s="320"/>
      <c r="G72" s="319"/>
      <c r="H72" s="335"/>
      <c r="I72" s="335"/>
    </row>
    <row r="73" spans="3:9" ht="12" customHeight="1">
      <c r="C73" s="320"/>
      <c r="D73" s="320"/>
      <c r="E73" s="320"/>
      <c r="F73" s="320"/>
      <c r="G73" s="319"/>
      <c r="H73" s="335"/>
      <c r="I73" s="335"/>
    </row>
    <row r="74" spans="3:9" ht="12" customHeight="1">
      <c r="C74" s="320"/>
      <c r="D74" s="320"/>
      <c r="E74" s="320"/>
      <c r="F74" s="320"/>
      <c r="G74" s="319"/>
      <c r="H74" s="335"/>
      <c r="I74" s="335"/>
    </row>
    <row r="75" spans="3:9" ht="12" customHeight="1">
      <c r="C75" s="320"/>
      <c r="D75" s="320"/>
      <c r="E75" s="320"/>
      <c r="F75" s="320"/>
      <c r="G75" s="319"/>
      <c r="H75" s="335"/>
      <c r="I75" s="335"/>
    </row>
    <row r="76" spans="3:9" ht="12" customHeight="1">
      <c r="C76" s="320"/>
      <c r="D76" s="320"/>
      <c r="E76" s="320"/>
      <c r="F76" s="320"/>
      <c r="G76" s="319"/>
      <c r="H76" s="335"/>
      <c r="I76" s="335"/>
    </row>
    <row r="77" spans="3:9" ht="12" customHeight="1">
      <c r="C77" s="320"/>
      <c r="D77" s="320"/>
      <c r="E77" s="320"/>
      <c r="F77" s="320"/>
      <c r="G77" s="319"/>
      <c r="H77" s="335"/>
      <c r="I77" s="335"/>
    </row>
    <row r="78" spans="3:9" ht="12" customHeight="1">
      <c r="C78" s="320"/>
      <c r="D78" s="320"/>
      <c r="E78" s="320"/>
      <c r="F78" s="320"/>
      <c r="G78" s="319"/>
      <c r="H78" s="335"/>
      <c r="I78" s="335"/>
    </row>
    <row r="79" spans="3:9" ht="12" customHeight="1">
      <c r="C79" s="320"/>
      <c r="D79" s="320"/>
      <c r="E79" s="320"/>
      <c r="F79" s="320"/>
      <c r="G79" s="319"/>
      <c r="H79" s="335"/>
      <c r="I79" s="335"/>
    </row>
    <row r="80" spans="3:9" ht="12" customHeight="1">
      <c r="C80" s="320"/>
      <c r="D80" s="320"/>
      <c r="E80" s="320"/>
      <c r="F80" s="320"/>
      <c r="G80" s="319"/>
      <c r="H80" s="335"/>
      <c r="I80" s="335"/>
    </row>
    <row r="81" spans="3:9" ht="12" customHeight="1">
      <c r="C81" s="320"/>
      <c r="D81" s="320"/>
      <c r="E81" s="320"/>
      <c r="F81" s="320"/>
      <c r="G81" s="319"/>
      <c r="H81" s="335"/>
      <c r="I81" s="335"/>
    </row>
    <row r="82" spans="3:9" ht="12" customHeight="1">
      <c r="C82" s="320"/>
      <c r="D82" s="320"/>
      <c r="E82" s="320"/>
      <c r="F82" s="320"/>
      <c r="G82" s="319"/>
      <c r="H82" s="335"/>
      <c r="I82" s="335"/>
    </row>
    <row r="83" spans="3:9" ht="12" customHeight="1">
      <c r="C83" s="320"/>
      <c r="D83" s="320"/>
      <c r="E83" s="320"/>
      <c r="F83" s="320"/>
      <c r="G83" s="319"/>
      <c r="H83" s="335"/>
      <c r="I83" s="335"/>
    </row>
    <row r="84" spans="3:9" ht="12" customHeight="1">
      <c r="C84" s="320"/>
      <c r="D84" s="320"/>
      <c r="E84" s="320"/>
      <c r="F84" s="320"/>
      <c r="G84" s="319"/>
      <c r="H84" s="335"/>
      <c r="I84" s="335"/>
    </row>
    <row r="85" spans="3:9" ht="12" customHeight="1">
      <c r="C85" s="320"/>
      <c r="D85" s="320"/>
      <c r="E85" s="320"/>
      <c r="F85" s="320"/>
      <c r="G85" s="319"/>
      <c r="H85" s="335"/>
      <c r="I85" s="335"/>
    </row>
    <row r="86" spans="3:9" ht="12" customHeight="1">
      <c r="C86" s="320"/>
      <c r="D86" s="320"/>
      <c r="E86" s="320"/>
      <c r="F86" s="320"/>
      <c r="G86" s="319"/>
      <c r="H86" s="335"/>
      <c r="I86" s="335"/>
    </row>
    <row r="87" spans="3:9" ht="12" customHeight="1">
      <c r="C87" s="320"/>
      <c r="D87" s="320"/>
      <c r="E87" s="320"/>
      <c r="F87" s="320"/>
      <c r="G87" s="319"/>
      <c r="H87" s="335"/>
      <c r="I87" s="335"/>
    </row>
    <row r="88" spans="3:9" ht="12" customHeight="1">
      <c r="C88" s="320"/>
      <c r="D88" s="320"/>
      <c r="E88" s="320"/>
      <c r="F88" s="320"/>
      <c r="G88" s="319"/>
      <c r="H88" s="335"/>
      <c r="I88" s="335"/>
    </row>
    <row r="89" spans="3:9" ht="12" customHeight="1">
      <c r="C89" s="320"/>
      <c r="D89" s="320"/>
      <c r="E89" s="320"/>
      <c r="F89" s="320"/>
      <c r="G89" s="319"/>
      <c r="H89" s="335"/>
      <c r="I89" s="335"/>
    </row>
    <row r="90" spans="3:9" ht="12" customHeight="1">
      <c r="C90" s="320"/>
      <c r="D90" s="320"/>
      <c r="E90" s="320"/>
      <c r="F90" s="320"/>
      <c r="G90" s="319"/>
      <c r="H90" s="335"/>
      <c r="I90" s="335"/>
    </row>
    <row r="91" spans="3:9" ht="12" customHeight="1">
      <c r="C91" s="320"/>
      <c r="D91" s="320"/>
      <c r="E91" s="320"/>
      <c r="F91" s="320"/>
      <c r="G91" s="319"/>
      <c r="H91" s="335"/>
      <c r="I91" s="335"/>
    </row>
    <row r="92" spans="3:9" ht="12" customHeight="1">
      <c r="C92" s="320"/>
      <c r="D92" s="320"/>
      <c r="E92" s="320"/>
      <c r="F92" s="320"/>
      <c r="G92" s="319"/>
      <c r="H92" s="335"/>
      <c r="I92" s="335"/>
    </row>
    <row r="93" spans="3:9" ht="12" customHeight="1">
      <c r="C93" s="320"/>
      <c r="D93" s="320"/>
      <c r="E93" s="320"/>
      <c r="F93" s="320"/>
      <c r="G93" s="319"/>
      <c r="H93" s="335"/>
      <c r="I93" s="335"/>
    </row>
    <row r="94" spans="3:9" ht="12" customHeight="1">
      <c r="C94" s="320"/>
      <c r="D94" s="320"/>
      <c r="E94" s="320"/>
      <c r="F94" s="320"/>
      <c r="G94" s="319"/>
      <c r="H94" s="335"/>
      <c r="I94" s="335"/>
    </row>
    <row r="95" spans="3:9" ht="12" customHeight="1">
      <c r="C95" s="320"/>
      <c r="D95" s="320"/>
      <c r="E95" s="320"/>
      <c r="F95" s="320"/>
      <c r="G95" s="319"/>
      <c r="H95" s="335"/>
      <c r="I95" s="335"/>
    </row>
    <row r="96" spans="3:9" ht="12" customHeight="1">
      <c r="C96" s="320"/>
      <c r="D96" s="320"/>
      <c r="E96" s="320"/>
      <c r="F96" s="320"/>
      <c r="G96" s="319"/>
      <c r="H96" s="335"/>
      <c r="I96" s="335"/>
    </row>
    <row r="97" spans="3:9" ht="12" customHeight="1">
      <c r="C97" s="320"/>
      <c r="D97" s="320"/>
      <c r="E97" s="320"/>
      <c r="F97" s="320"/>
      <c r="G97" s="319"/>
      <c r="H97" s="335"/>
      <c r="I97" s="335"/>
    </row>
    <row r="98" spans="3:9" ht="12" customHeight="1">
      <c r="C98" s="320"/>
      <c r="D98" s="320"/>
      <c r="E98" s="320"/>
      <c r="F98" s="320"/>
      <c r="G98" s="319"/>
      <c r="H98" s="335"/>
      <c r="I98" s="335"/>
    </row>
    <row r="99" spans="3:9" ht="12" customHeight="1">
      <c r="C99" s="320"/>
      <c r="D99" s="320"/>
      <c r="E99" s="320"/>
      <c r="F99" s="320"/>
      <c r="G99" s="319"/>
      <c r="H99" s="335"/>
      <c r="I99" s="335"/>
    </row>
    <row r="100" spans="3:9" ht="12" customHeight="1">
      <c r="C100" s="320"/>
      <c r="D100" s="320"/>
      <c r="E100" s="320"/>
      <c r="F100" s="320"/>
      <c r="G100" s="319"/>
      <c r="H100" s="335"/>
      <c r="I100" s="335"/>
    </row>
    <row r="101" spans="3:9" ht="12" customHeight="1">
      <c r="C101" s="320"/>
      <c r="D101" s="320"/>
      <c r="E101" s="320"/>
      <c r="F101" s="320"/>
      <c r="G101" s="319"/>
      <c r="H101" s="335"/>
      <c r="I101" s="335"/>
    </row>
    <row r="102" spans="3:9" ht="12" customHeight="1">
      <c r="C102" s="320"/>
      <c r="D102" s="320"/>
      <c r="E102" s="320"/>
      <c r="F102" s="320"/>
      <c r="G102" s="319"/>
      <c r="H102" s="335"/>
      <c r="I102" s="335"/>
    </row>
    <row r="103" spans="3:9" ht="12" customHeight="1">
      <c r="C103" s="320"/>
      <c r="D103" s="320"/>
      <c r="E103" s="320"/>
      <c r="F103" s="320"/>
      <c r="G103" s="319"/>
      <c r="H103" s="335"/>
      <c r="I103" s="335"/>
    </row>
    <row r="104" spans="3:9" ht="12" customHeight="1">
      <c r="C104" s="320"/>
      <c r="D104" s="320"/>
      <c r="E104" s="320"/>
      <c r="F104" s="320"/>
      <c r="G104" s="319"/>
      <c r="H104" s="335"/>
      <c r="I104" s="335"/>
    </row>
    <row r="105" spans="3:9" ht="12" customHeight="1">
      <c r="C105" s="320"/>
      <c r="D105" s="320"/>
      <c r="E105" s="320"/>
      <c r="F105" s="320"/>
      <c r="G105" s="319"/>
      <c r="H105" s="335"/>
      <c r="I105" s="335"/>
    </row>
    <row r="106" spans="3:9" ht="12" customHeight="1">
      <c r="C106" s="320"/>
      <c r="D106" s="320"/>
      <c r="E106" s="320"/>
      <c r="F106" s="320"/>
      <c r="G106" s="319"/>
      <c r="H106" s="335"/>
      <c r="I106" s="335"/>
    </row>
    <row r="107" spans="3:9" ht="12" customHeight="1">
      <c r="C107" s="320"/>
      <c r="D107" s="320"/>
      <c r="E107" s="320"/>
      <c r="F107" s="320"/>
      <c r="G107" s="319"/>
      <c r="H107" s="335"/>
      <c r="I107" s="335"/>
    </row>
    <row r="108" spans="3:9" ht="12" customHeight="1">
      <c r="C108" s="320"/>
      <c r="D108" s="320"/>
      <c r="E108" s="320"/>
      <c r="F108" s="320"/>
      <c r="G108" s="319"/>
      <c r="H108" s="335"/>
      <c r="I108" s="335"/>
    </row>
    <row r="109" spans="3:9" ht="12" customHeight="1">
      <c r="C109" s="320"/>
      <c r="D109" s="320"/>
      <c r="E109" s="320"/>
      <c r="F109" s="320"/>
      <c r="G109" s="319"/>
      <c r="H109" s="335"/>
      <c r="I109" s="335"/>
    </row>
    <row r="110" spans="3:9" ht="12" customHeight="1">
      <c r="C110" s="320"/>
      <c r="D110" s="320"/>
      <c r="E110" s="320"/>
      <c r="F110" s="320"/>
      <c r="G110" s="319"/>
      <c r="H110" s="335"/>
      <c r="I110" s="335"/>
    </row>
    <row r="111" spans="3:9" ht="12" customHeight="1">
      <c r="C111" s="320"/>
      <c r="D111" s="320"/>
      <c r="E111" s="320"/>
      <c r="F111" s="320"/>
      <c r="G111" s="319"/>
      <c r="H111" s="335"/>
      <c r="I111" s="335"/>
    </row>
    <row r="112" spans="3:9" ht="12" customHeight="1">
      <c r="C112" s="320"/>
      <c r="D112" s="320"/>
      <c r="E112" s="320"/>
      <c r="F112" s="320"/>
      <c r="G112" s="319"/>
      <c r="H112" s="335"/>
      <c r="I112" s="335"/>
    </row>
    <row r="113" spans="3:9" ht="12" customHeight="1">
      <c r="C113" s="320"/>
      <c r="D113" s="320"/>
      <c r="E113" s="320"/>
      <c r="F113" s="320"/>
      <c r="G113" s="319"/>
      <c r="H113" s="335"/>
      <c r="I113" s="335"/>
    </row>
    <row r="114" spans="3:9" ht="12" customHeight="1">
      <c r="C114" s="320"/>
      <c r="D114" s="320"/>
      <c r="E114" s="320"/>
      <c r="F114" s="320"/>
      <c r="G114" s="319"/>
      <c r="H114" s="335"/>
      <c r="I114" s="335"/>
    </row>
    <row r="115" spans="3:9" ht="12" customHeight="1">
      <c r="C115" s="320"/>
      <c r="D115" s="320"/>
      <c r="E115" s="320"/>
      <c r="F115" s="320"/>
      <c r="G115" s="319"/>
      <c r="H115" s="335"/>
      <c r="I115" s="335"/>
    </row>
    <row r="116" spans="3:9" ht="12" customHeight="1">
      <c r="C116" s="320"/>
      <c r="D116" s="320"/>
      <c r="E116" s="320"/>
      <c r="F116" s="320"/>
      <c r="G116" s="319"/>
      <c r="H116" s="335"/>
      <c r="I116" s="335"/>
    </row>
    <row r="117" spans="3:9" ht="12" customHeight="1">
      <c r="C117" s="320"/>
      <c r="D117" s="320"/>
      <c r="E117" s="320"/>
      <c r="F117" s="320"/>
      <c r="G117" s="319"/>
      <c r="H117" s="335"/>
      <c r="I117" s="335"/>
    </row>
    <row r="118" spans="3:9" ht="12" customHeight="1">
      <c r="C118" s="320"/>
      <c r="D118" s="320"/>
      <c r="E118" s="320"/>
      <c r="F118" s="320"/>
      <c r="G118" s="319"/>
      <c r="H118" s="335"/>
      <c r="I118" s="335"/>
    </row>
    <row r="119" spans="3:9" ht="12" customHeight="1">
      <c r="C119" s="320"/>
      <c r="D119" s="320"/>
      <c r="E119" s="320"/>
      <c r="F119" s="320"/>
      <c r="G119" s="319"/>
      <c r="H119" s="335"/>
      <c r="I119" s="335"/>
    </row>
    <row r="120" spans="3:9" ht="12" customHeight="1">
      <c r="C120" s="320"/>
      <c r="D120" s="320"/>
      <c r="E120" s="320"/>
      <c r="F120" s="320"/>
      <c r="G120" s="319"/>
      <c r="H120" s="335"/>
      <c r="I120" s="335"/>
    </row>
    <row r="121" spans="3:9" ht="12" customHeight="1">
      <c r="C121" s="320"/>
      <c r="D121" s="320"/>
      <c r="E121" s="320"/>
      <c r="F121" s="320"/>
      <c r="G121" s="319"/>
      <c r="H121" s="335"/>
      <c r="I121" s="335"/>
    </row>
    <row r="122" spans="3:9" ht="12" customHeight="1">
      <c r="C122" s="320"/>
      <c r="D122" s="320"/>
      <c r="E122" s="320"/>
      <c r="F122" s="320"/>
      <c r="G122" s="319"/>
      <c r="H122" s="335"/>
      <c r="I122" s="335"/>
    </row>
    <row r="123" spans="3:9" ht="12" customHeight="1">
      <c r="C123" s="320"/>
      <c r="D123" s="320"/>
      <c r="E123" s="320"/>
      <c r="F123" s="320"/>
      <c r="G123" s="319"/>
      <c r="H123" s="335"/>
      <c r="I123" s="335"/>
    </row>
    <row r="124" spans="3:9" ht="12" customHeight="1">
      <c r="C124" s="320"/>
      <c r="D124" s="320"/>
      <c r="E124" s="320"/>
      <c r="F124" s="320"/>
      <c r="G124" s="319"/>
      <c r="H124" s="335"/>
      <c r="I124" s="335"/>
    </row>
    <row r="125" spans="3:9" ht="12" customHeight="1">
      <c r="C125" s="320"/>
      <c r="D125" s="320"/>
      <c r="E125" s="320"/>
      <c r="F125" s="320"/>
      <c r="G125" s="319"/>
      <c r="H125" s="335"/>
      <c r="I125" s="335"/>
    </row>
    <row r="126" spans="3:9" ht="12" customHeight="1">
      <c r="C126" s="320"/>
      <c r="D126" s="320"/>
      <c r="E126" s="320"/>
      <c r="F126" s="320"/>
      <c r="G126" s="319"/>
      <c r="H126" s="335"/>
      <c r="I126" s="335"/>
    </row>
    <row r="127" spans="3:9" ht="12" customHeight="1">
      <c r="C127" s="320"/>
      <c r="D127" s="320"/>
      <c r="E127" s="320"/>
      <c r="F127" s="320"/>
      <c r="G127" s="319"/>
      <c r="H127" s="335"/>
      <c r="I127" s="335"/>
    </row>
    <row r="128" spans="3:9" ht="12" customHeight="1">
      <c r="C128" s="320"/>
      <c r="D128" s="320"/>
      <c r="E128" s="320"/>
      <c r="F128" s="320"/>
      <c r="G128" s="319"/>
      <c r="H128" s="335"/>
      <c r="I128" s="335"/>
    </row>
    <row r="129" spans="3:9" ht="12" customHeight="1">
      <c r="C129" s="320"/>
      <c r="D129" s="320"/>
      <c r="E129" s="320"/>
      <c r="F129" s="320"/>
      <c r="G129" s="319"/>
      <c r="H129" s="335"/>
      <c r="I129" s="335"/>
    </row>
    <row r="130" spans="3:9" ht="12" customHeight="1">
      <c r="C130" s="320"/>
      <c r="D130" s="320"/>
      <c r="E130" s="320"/>
      <c r="F130" s="320"/>
      <c r="G130" s="319"/>
      <c r="H130" s="335"/>
      <c r="I130" s="335"/>
    </row>
    <row r="131" spans="3:9" ht="12" customHeight="1">
      <c r="C131" s="320"/>
      <c r="D131" s="320"/>
      <c r="E131" s="320"/>
      <c r="F131" s="320"/>
      <c r="G131" s="319"/>
      <c r="H131" s="335"/>
      <c r="I131" s="335"/>
    </row>
    <row r="132" spans="3:9" ht="12" customHeight="1">
      <c r="C132" s="320"/>
      <c r="D132" s="320"/>
      <c r="E132" s="320"/>
      <c r="F132" s="320"/>
      <c r="G132" s="319"/>
      <c r="H132" s="335"/>
      <c r="I132" s="335"/>
    </row>
    <row r="133" spans="3:9" ht="12" customHeight="1">
      <c r="C133" s="320"/>
      <c r="D133" s="320"/>
      <c r="E133" s="320"/>
      <c r="F133" s="320"/>
      <c r="G133" s="319"/>
      <c r="H133" s="335"/>
      <c r="I133" s="335"/>
    </row>
  </sheetData>
  <mergeCells count="15">
    <mergeCell ref="O3:O4"/>
    <mergeCell ref="O5:O18"/>
    <mergeCell ref="K3:K4"/>
    <mergeCell ref="N3:N4"/>
    <mergeCell ref="H3:J3"/>
    <mergeCell ref="A1:B1"/>
    <mergeCell ref="E3:G3"/>
    <mergeCell ref="L3:M3"/>
    <mergeCell ref="A19:M19"/>
    <mergeCell ref="B26:F26"/>
    <mergeCell ref="A3:A4"/>
    <mergeCell ref="B3:B4"/>
    <mergeCell ref="B20:M20"/>
    <mergeCell ref="D3:D4"/>
    <mergeCell ref="C3:C4"/>
  </mergeCells>
  <phoneticPr fontId="3" type="noConversion"/>
  <dataValidations disablePrompts="1" count="1">
    <dataValidation type="list" allowBlank="1" showInputMessage="1" showErrorMessage="1" sqref="L5:M18">
      <formula1>$W$7:$W$8</formula1>
    </dataValidation>
  </dataValidations>
  <pageMargins left="0.74803149606299213" right="0.74803149606299213" top="0.78740157480314965" bottom="0.78740157480314965" header="0.51181102362204722" footer="0.51181102362204722"/>
  <pageSetup paperSize="9" scale="68" fitToHeight="3" orientation="landscape" r:id="rId1"/>
  <headerFooter alignWithMargins="0"/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indexed="43"/>
  </sheetPr>
  <dimension ref="A1:AA174"/>
  <sheetViews>
    <sheetView view="pageBreakPreview" topLeftCell="A37" zoomScaleNormal="85" zoomScaleSheetLayoutView="100" workbookViewId="0">
      <pane xSplit="3" topLeftCell="D1" activePane="topRight" state="frozen"/>
      <selection activeCell="I42" sqref="I42"/>
      <selection pane="topRight" activeCell="O47" sqref="O47"/>
    </sheetView>
  </sheetViews>
  <sheetFormatPr defaultRowHeight="12" customHeight="1"/>
  <cols>
    <col min="1" max="1" width="4.5546875" style="318" customWidth="1"/>
    <col min="2" max="2" width="38.6640625" style="324" customWidth="1"/>
    <col min="3" max="3" width="26.77734375" style="324" customWidth="1"/>
    <col min="4" max="4" width="9.77734375" style="324" customWidth="1"/>
    <col min="5" max="5" width="10.5546875" style="324" customWidth="1"/>
    <col min="6" max="7" width="10.33203125" style="324" bestFit="1" customWidth="1"/>
    <col min="8" max="8" width="6.21875" style="325" bestFit="1" customWidth="1"/>
    <col min="9" max="9" width="10.33203125" style="336" bestFit="1" customWidth="1"/>
    <col min="10" max="10" width="10.109375" style="336" bestFit="1" customWidth="1"/>
    <col min="11" max="11" width="6.21875" style="335" bestFit="1" customWidth="1"/>
    <col min="12" max="12" width="7.77734375" style="335" customWidth="1"/>
    <col min="13" max="14" width="8.77734375" style="321" customWidth="1"/>
    <col min="15" max="15" width="8.33203125" style="322" customWidth="1"/>
    <col min="16" max="16" width="5.33203125" style="323" customWidth="1"/>
    <col min="17" max="16384" width="8.88671875" style="323"/>
  </cols>
  <sheetData>
    <row r="1" spans="1:27" s="343" customFormat="1" ht="30" customHeight="1" thickBot="1">
      <c r="A1" s="1021" t="str">
        <f>배점기준!$C$3</f>
        <v>대기관리</v>
      </c>
      <c r="B1" s="1022"/>
      <c r="C1" s="337" t="s">
        <v>488</v>
      </c>
      <c r="D1" s="1019" t="s">
        <v>489</v>
      </c>
      <c r="E1" s="1020"/>
      <c r="F1" s="338"/>
      <c r="G1" s="339"/>
      <c r="H1" s="339"/>
      <c r="I1" s="340"/>
      <c r="J1" s="340"/>
      <c r="K1" s="340"/>
      <c r="L1" s="340"/>
      <c r="M1" s="340"/>
      <c r="N1" s="340"/>
      <c r="O1" s="341"/>
      <c r="P1" s="342"/>
    </row>
    <row r="2" spans="1:27" s="286" customFormat="1" ht="23.25" customHeight="1">
      <c r="A2" s="1013" t="s">
        <v>490</v>
      </c>
      <c r="B2" s="1015" t="s">
        <v>491</v>
      </c>
      <c r="C2" s="1017" t="s">
        <v>492</v>
      </c>
      <c r="D2" s="1017" t="s">
        <v>404</v>
      </c>
      <c r="E2" s="980" t="s">
        <v>493</v>
      </c>
      <c r="F2" s="991" t="s">
        <v>494</v>
      </c>
      <c r="G2" s="992"/>
      <c r="H2" s="992"/>
      <c r="I2" s="1000" t="s">
        <v>495</v>
      </c>
      <c r="J2" s="1005"/>
      <c r="K2" s="1001"/>
      <c r="L2" s="1009" t="s">
        <v>496</v>
      </c>
      <c r="M2" s="1011" t="s">
        <v>497</v>
      </c>
      <c r="N2" s="1012"/>
      <c r="O2" s="1009" t="s">
        <v>498</v>
      </c>
      <c r="P2" s="982" t="s">
        <v>499</v>
      </c>
    </row>
    <row r="3" spans="1:27" s="286" customFormat="1" ht="29.25" customHeight="1">
      <c r="A3" s="1014"/>
      <c r="B3" s="1016"/>
      <c r="C3" s="1018"/>
      <c r="D3" s="1018"/>
      <c r="E3" s="981"/>
      <c r="F3" s="287" t="s">
        <v>500</v>
      </c>
      <c r="G3" s="287" t="s">
        <v>501</v>
      </c>
      <c r="H3" s="287" t="s">
        <v>502</v>
      </c>
      <c r="I3" s="287" t="s">
        <v>503</v>
      </c>
      <c r="J3" s="287" t="s">
        <v>504</v>
      </c>
      <c r="K3" s="287" t="s">
        <v>505</v>
      </c>
      <c r="L3" s="1010"/>
      <c r="M3" s="6" t="s">
        <v>506</v>
      </c>
      <c r="N3" s="7" t="s">
        <v>507</v>
      </c>
      <c r="O3" s="1010"/>
      <c r="P3" s="983"/>
    </row>
    <row r="4" spans="1:27" s="296" customFormat="1" ht="24.95" customHeight="1">
      <c r="A4" s="8">
        <v>1</v>
      </c>
      <c r="B4" s="9" t="s">
        <v>172</v>
      </c>
      <c r="C4" s="9" t="s">
        <v>508</v>
      </c>
      <c r="D4" s="147"/>
      <c r="E4" s="10" t="s">
        <v>509</v>
      </c>
      <c r="F4" s="11">
        <v>34645</v>
      </c>
      <c r="G4" s="11">
        <v>36522</v>
      </c>
      <c r="H4" s="12">
        <f>IF(G4-F4&gt;=90,G4-F4,0)</f>
        <v>1877</v>
      </c>
      <c r="I4" s="11">
        <v>34645</v>
      </c>
      <c r="J4" s="11">
        <v>36522</v>
      </c>
      <c r="K4" s="12">
        <f>IF(J4-I4&gt;=30,J4-I4,0)</f>
        <v>1877</v>
      </c>
      <c r="L4" s="13">
        <f>K4/H4</f>
        <v>1</v>
      </c>
      <c r="M4" s="14">
        <v>1</v>
      </c>
      <c r="N4" s="15">
        <v>1</v>
      </c>
      <c r="O4" s="16">
        <f>ROUND(L4*M4*N4,2)</f>
        <v>1</v>
      </c>
      <c r="P4" s="984"/>
    </row>
    <row r="5" spans="1:27" s="298" customFormat="1" ht="24.95" customHeight="1">
      <c r="A5" s="17">
        <v>2</v>
      </c>
      <c r="B5" s="9" t="s">
        <v>173</v>
      </c>
      <c r="C5" s="9" t="s">
        <v>508</v>
      </c>
      <c r="D5" s="147"/>
      <c r="E5" s="10" t="s">
        <v>509</v>
      </c>
      <c r="F5" s="11">
        <v>34692</v>
      </c>
      <c r="G5" s="11">
        <v>37063</v>
      </c>
      <c r="H5" s="12">
        <f t="shared" ref="H5:H17" si="0">IF(G5-F5&gt;=90,G5-F5,0)</f>
        <v>2371</v>
      </c>
      <c r="I5" s="11">
        <v>34692</v>
      </c>
      <c r="J5" s="11">
        <v>36525</v>
      </c>
      <c r="K5" s="12">
        <f t="shared" ref="K5:K17" si="1">IF(J5-I5&gt;=30,J5-I5,0)</f>
        <v>1833</v>
      </c>
      <c r="L5" s="13">
        <f t="shared" ref="L5:L17" si="2">K5/H5</f>
        <v>0.7730915225643189</v>
      </c>
      <c r="M5" s="14">
        <v>0.6</v>
      </c>
      <c r="N5" s="15">
        <v>0.6</v>
      </c>
      <c r="O5" s="16">
        <f t="shared" ref="O5:O17" si="3">ROUND(L5*M5*N5,2)</f>
        <v>0.28000000000000003</v>
      </c>
      <c r="P5" s="985"/>
      <c r="AA5" s="299" t="s">
        <v>510</v>
      </c>
    </row>
    <row r="6" spans="1:27" s="298" customFormat="1" ht="24.95" customHeight="1">
      <c r="A6" s="17">
        <v>3</v>
      </c>
      <c r="B6" s="9" t="s">
        <v>174</v>
      </c>
      <c r="C6" s="9" t="s">
        <v>511</v>
      </c>
      <c r="D6" s="147"/>
      <c r="E6" s="10" t="s">
        <v>512</v>
      </c>
      <c r="F6" s="11">
        <v>34967</v>
      </c>
      <c r="G6" s="11">
        <v>36871</v>
      </c>
      <c r="H6" s="12">
        <f t="shared" si="0"/>
        <v>1904</v>
      </c>
      <c r="I6" s="11">
        <v>34967</v>
      </c>
      <c r="J6" s="11">
        <v>36871</v>
      </c>
      <c r="K6" s="12">
        <f t="shared" si="1"/>
        <v>1904</v>
      </c>
      <c r="L6" s="13">
        <f t="shared" si="2"/>
        <v>1</v>
      </c>
      <c r="M6" s="14">
        <v>1</v>
      </c>
      <c r="N6" s="15">
        <v>1</v>
      </c>
      <c r="O6" s="16">
        <f t="shared" si="3"/>
        <v>1</v>
      </c>
      <c r="P6" s="985"/>
      <c r="AA6" s="344">
        <v>1</v>
      </c>
    </row>
    <row r="7" spans="1:27" s="298" customFormat="1" ht="24.95" customHeight="1">
      <c r="A7" s="17">
        <v>4</v>
      </c>
      <c r="B7" s="9" t="s">
        <v>175</v>
      </c>
      <c r="C7" s="9" t="s">
        <v>511</v>
      </c>
      <c r="D7" s="147"/>
      <c r="E7" s="10" t="s">
        <v>512</v>
      </c>
      <c r="F7" s="11">
        <v>36194</v>
      </c>
      <c r="G7" s="11">
        <v>37008</v>
      </c>
      <c r="H7" s="12">
        <f t="shared" si="0"/>
        <v>814</v>
      </c>
      <c r="I7" s="11">
        <v>36194</v>
      </c>
      <c r="J7" s="11">
        <v>37008</v>
      </c>
      <c r="K7" s="12">
        <f t="shared" si="1"/>
        <v>814</v>
      </c>
      <c r="L7" s="13">
        <f t="shared" si="2"/>
        <v>1</v>
      </c>
      <c r="M7" s="14">
        <v>0.6</v>
      </c>
      <c r="N7" s="15">
        <v>1</v>
      </c>
      <c r="O7" s="16">
        <f t="shared" si="3"/>
        <v>0.6</v>
      </c>
      <c r="P7" s="985"/>
      <c r="AA7" s="344">
        <v>0.6</v>
      </c>
    </row>
    <row r="8" spans="1:27" s="298" customFormat="1" ht="24.95" customHeight="1">
      <c r="A8" s="17">
        <v>5</v>
      </c>
      <c r="B8" s="9" t="s">
        <v>513</v>
      </c>
      <c r="C8" s="9" t="s">
        <v>511</v>
      </c>
      <c r="D8" s="147"/>
      <c r="E8" s="10" t="s">
        <v>512</v>
      </c>
      <c r="F8" s="11">
        <v>37369</v>
      </c>
      <c r="G8" s="11">
        <v>37954</v>
      </c>
      <c r="H8" s="12">
        <f t="shared" si="0"/>
        <v>585</v>
      </c>
      <c r="I8" s="11">
        <v>37369</v>
      </c>
      <c r="J8" s="11">
        <v>37954</v>
      </c>
      <c r="K8" s="12">
        <f t="shared" si="1"/>
        <v>585</v>
      </c>
      <c r="L8" s="13">
        <f t="shared" si="2"/>
        <v>1</v>
      </c>
      <c r="M8" s="14">
        <v>1</v>
      </c>
      <c r="N8" s="15">
        <v>0.6</v>
      </c>
      <c r="O8" s="16">
        <f t="shared" si="3"/>
        <v>0.6</v>
      </c>
      <c r="P8" s="985"/>
    </row>
    <row r="9" spans="1:27" s="296" customFormat="1" ht="24.95" customHeight="1">
      <c r="A9" s="17">
        <v>7</v>
      </c>
      <c r="B9" s="9" t="s">
        <v>176</v>
      </c>
      <c r="C9" s="9" t="s">
        <v>511</v>
      </c>
      <c r="D9" s="147"/>
      <c r="E9" s="10" t="s">
        <v>512</v>
      </c>
      <c r="F9" s="11">
        <v>37673</v>
      </c>
      <c r="G9" s="11">
        <v>38929</v>
      </c>
      <c r="H9" s="12">
        <f t="shared" si="0"/>
        <v>1256</v>
      </c>
      <c r="I9" s="11">
        <v>37673</v>
      </c>
      <c r="J9" s="11">
        <v>38929</v>
      </c>
      <c r="K9" s="12">
        <f t="shared" si="1"/>
        <v>1256</v>
      </c>
      <c r="L9" s="13">
        <f t="shared" si="2"/>
        <v>1</v>
      </c>
      <c r="M9" s="14">
        <v>0.6</v>
      </c>
      <c r="N9" s="15">
        <v>0.6</v>
      </c>
      <c r="O9" s="16">
        <f t="shared" si="3"/>
        <v>0.36</v>
      </c>
      <c r="P9" s="985"/>
    </row>
    <row r="10" spans="1:27" s="296" customFormat="1" ht="24.95" customHeight="1">
      <c r="A10" s="17">
        <v>8</v>
      </c>
      <c r="B10" s="9" t="s">
        <v>177</v>
      </c>
      <c r="C10" s="9" t="s">
        <v>511</v>
      </c>
      <c r="D10" s="147"/>
      <c r="E10" s="10" t="s">
        <v>512</v>
      </c>
      <c r="F10" s="11">
        <v>38240</v>
      </c>
      <c r="G10" s="11">
        <v>39562</v>
      </c>
      <c r="H10" s="12">
        <f t="shared" si="0"/>
        <v>1322</v>
      </c>
      <c r="I10" s="11">
        <v>38240</v>
      </c>
      <c r="J10" s="11">
        <v>39562</v>
      </c>
      <c r="K10" s="12">
        <f t="shared" si="1"/>
        <v>1322</v>
      </c>
      <c r="L10" s="13">
        <f t="shared" si="2"/>
        <v>1</v>
      </c>
      <c r="M10" s="14">
        <v>1</v>
      </c>
      <c r="N10" s="15">
        <v>1</v>
      </c>
      <c r="O10" s="16">
        <f t="shared" si="3"/>
        <v>1</v>
      </c>
      <c r="P10" s="985"/>
    </row>
    <row r="11" spans="1:27" s="296" customFormat="1" ht="24.95" customHeight="1">
      <c r="A11" s="17">
        <v>9</v>
      </c>
      <c r="B11" s="9" t="s">
        <v>514</v>
      </c>
      <c r="C11" s="9" t="s">
        <v>511</v>
      </c>
      <c r="D11" s="147"/>
      <c r="E11" s="10" t="s">
        <v>512</v>
      </c>
      <c r="F11" s="11">
        <v>38078</v>
      </c>
      <c r="G11" s="11">
        <v>38660</v>
      </c>
      <c r="H11" s="12">
        <f t="shared" si="0"/>
        <v>582</v>
      </c>
      <c r="I11" s="11">
        <v>38078</v>
      </c>
      <c r="J11" s="11">
        <v>38660</v>
      </c>
      <c r="K11" s="12">
        <f t="shared" si="1"/>
        <v>582</v>
      </c>
      <c r="L11" s="13">
        <f t="shared" si="2"/>
        <v>1</v>
      </c>
      <c r="M11" s="14">
        <v>0.6</v>
      </c>
      <c r="N11" s="15">
        <v>1</v>
      </c>
      <c r="O11" s="16">
        <f t="shared" si="3"/>
        <v>0.6</v>
      </c>
      <c r="P11" s="985"/>
    </row>
    <row r="12" spans="1:27" s="296" customFormat="1" ht="24.95" customHeight="1">
      <c r="A12" s="17">
        <v>10</v>
      </c>
      <c r="B12" s="9" t="s">
        <v>515</v>
      </c>
      <c r="C12" s="9" t="s">
        <v>511</v>
      </c>
      <c r="D12" s="147"/>
      <c r="E12" s="10" t="s">
        <v>512</v>
      </c>
      <c r="F12" s="18">
        <v>38127</v>
      </c>
      <c r="G12" s="18">
        <v>38717</v>
      </c>
      <c r="H12" s="12">
        <f t="shared" si="0"/>
        <v>590</v>
      </c>
      <c r="I12" s="11">
        <v>38127</v>
      </c>
      <c r="J12" s="11">
        <v>38717</v>
      </c>
      <c r="K12" s="12">
        <f t="shared" si="1"/>
        <v>590</v>
      </c>
      <c r="L12" s="13">
        <f t="shared" si="2"/>
        <v>1</v>
      </c>
      <c r="M12" s="14">
        <v>1</v>
      </c>
      <c r="N12" s="15">
        <v>0.6</v>
      </c>
      <c r="O12" s="16">
        <f t="shared" si="3"/>
        <v>0.6</v>
      </c>
      <c r="P12" s="985"/>
    </row>
    <row r="13" spans="1:27" s="296" customFormat="1" ht="24.95" customHeight="1">
      <c r="A13" s="17">
        <v>11</v>
      </c>
      <c r="B13" s="9" t="s">
        <v>516</v>
      </c>
      <c r="C13" s="9" t="s">
        <v>511</v>
      </c>
      <c r="D13" s="147"/>
      <c r="E13" s="10" t="s">
        <v>512</v>
      </c>
      <c r="F13" s="18">
        <v>38098</v>
      </c>
      <c r="G13" s="11">
        <v>38717</v>
      </c>
      <c r="H13" s="12">
        <f t="shared" si="0"/>
        <v>619</v>
      </c>
      <c r="I13" s="11">
        <v>38098</v>
      </c>
      <c r="J13" s="11">
        <v>38656</v>
      </c>
      <c r="K13" s="12">
        <f t="shared" si="1"/>
        <v>558</v>
      </c>
      <c r="L13" s="13">
        <f t="shared" si="2"/>
        <v>0.90145395799676897</v>
      </c>
      <c r="M13" s="14">
        <v>0.6</v>
      </c>
      <c r="N13" s="15">
        <v>0.6</v>
      </c>
      <c r="O13" s="16">
        <f t="shared" si="3"/>
        <v>0.32</v>
      </c>
      <c r="P13" s="985"/>
    </row>
    <row r="14" spans="1:27" s="296" customFormat="1" ht="24.95" customHeight="1">
      <c r="A14" s="17">
        <v>12</v>
      </c>
      <c r="B14" s="9" t="s">
        <v>517</v>
      </c>
      <c r="C14" s="9" t="s">
        <v>511</v>
      </c>
      <c r="D14" s="147"/>
      <c r="E14" s="10" t="s">
        <v>512</v>
      </c>
      <c r="F14" s="18">
        <v>37376</v>
      </c>
      <c r="G14" s="18">
        <v>38730</v>
      </c>
      <c r="H14" s="12">
        <f t="shared" si="0"/>
        <v>1354</v>
      </c>
      <c r="I14" s="11">
        <v>38472</v>
      </c>
      <c r="J14" s="11">
        <v>38730</v>
      </c>
      <c r="K14" s="12">
        <f t="shared" si="1"/>
        <v>258</v>
      </c>
      <c r="L14" s="13">
        <f t="shared" si="2"/>
        <v>0.19054652880354506</v>
      </c>
      <c r="M14" s="14">
        <v>1</v>
      </c>
      <c r="N14" s="15">
        <v>1</v>
      </c>
      <c r="O14" s="16">
        <f t="shared" si="3"/>
        <v>0.19</v>
      </c>
      <c r="P14" s="985"/>
    </row>
    <row r="15" spans="1:27" s="296" customFormat="1" ht="24.95" customHeight="1">
      <c r="A15" s="17">
        <v>13</v>
      </c>
      <c r="B15" s="9" t="s">
        <v>518</v>
      </c>
      <c r="C15" s="9" t="s">
        <v>511</v>
      </c>
      <c r="D15" s="147"/>
      <c r="E15" s="10" t="s">
        <v>512</v>
      </c>
      <c r="F15" s="18">
        <v>38750</v>
      </c>
      <c r="G15" s="11">
        <v>39082</v>
      </c>
      <c r="H15" s="12">
        <f t="shared" si="0"/>
        <v>332</v>
      </c>
      <c r="I15" s="11">
        <v>38750</v>
      </c>
      <c r="J15" s="11">
        <v>39082</v>
      </c>
      <c r="K15" s="12">
        <f t="shared" si="1"/>
        <v>332</v>
      </c>
      <c r="L15" s="13">
        <f t="shared" si="2"/>
        <v>1</v>
      </c>
      <c r="M15" s="14">
        <v>0.6</v>
      </c>
      <c r="N15" s="15">
        <v>1</v>
      </c>
      <c r="O15" s="16">
        <f t="shared" si="3"/>
        <v>0.6</v>
      </c>
      <c r="P15" s="985"/>
    </row>
    <row r="16" spans="1:27" s="296" customFormat="1" ht="24.95" customHeight="1">
      <c r="A16" s="17">
        <v>15</v>
      </c>
      <c r="B16" s="9" t="s">
        <v>178</v>
      </c>
      <c r="C16" s="9" t="s">
        <v>511</v>
      </c>
      <c r="D16" s="147"/>
      <c r="E16" s="10" t="s">
        <v>512</v>
      </c>
      <c r="F16" s="18">
        <v>37435</v>
      </c>
      <c r="G16" s="11">
        <v>39414</v>
      </c>
      <c r="H16" s="12">
        <f t="shared" si="0"/>
        <v>1979</v>
      </c>
      <c r="I16" s="11">
        <v>37435</v>
      </c>
      <c r="J16" s="11">
        <v>39414</v>
      </c>
      <c r="K16" s="12">
        <f t="shared" si="1"/>
        <v>1979</v>
      </c>
      <c r="L16" s="13">
        <f t="shared" si="2"/>
        <v>1</v>
      </c>
      <c r="M16" s="14">
        <v>1</v>
      </c>
      <c r="N16" s="15">
        <v>1</v>
      </c>
      <c r="O16" s="16">
        <f t="shared" si="3"/>
        <v>1</v>
      </c>
      <c r="P16" s="985"/>
    </row>
    <row r="17" spans="1:16" s="296" customFormat="1" ht="24.95" customHeight="1">
      <c r="A17" s="17">
        <v>16</v>
      </c>
      <c r="B17" s="9" t="s">
        <v>519</v>
      </c>
      <c r="C17" s="9" t="s">
        <v>511</v>
      </c>
      <c r="D17" s="147"/>
      <c r="E17" s="10" t="s">
        <v>512</v>
      </c>
      <c r="F17" s="18">
        <v>38834</v>
      </c>
      <c r="G17" s="18">
        <v>39482</v>
      </c>
      <c r="H17" s="12">
        <f t="shared" si="0"/>
        <v>648</v>
      </c>
      <c r="I17" s="11">
        <v>38834</v>
      </c>
      <c r="J17" s="11">
        <v>39482</v>
      </c>
      <c r="K17" s="12">
        <f t="shared" si="1"/>
        <v>648</v>
      </c>
      <c r="L17" s="13">
        <f t="shared" si="2"/>
        <v>1</v>
      </c>
      <c r="M17" s="14">
        <v>1</v>
      </c>
      <c r="N17" s="15">
        <v>1</v>
      </c>
      <c r="O17" s="16">
        <f t="shared" si="3"/>
        <v>1</v>
      </c>
      <c r="P17" s="985"/>
    </row>
    <row r="18" spans="1:16" s="298" customFormat="1" ht="24.95" customHeight="1" thickBot="1">
      <c r="A18" s="1006" t="s">
        <v>520</v>
      </c>
      <c r="B18" s="1007"/>
      <c r="C18" s="1007"/>
      <c r="D18" s="1007"/>
      <c r="E18" s="1007"/>
      <c r="F18" s="1007"/>
      <c r="G18" s="1007"/>
      <c r="H18" s="1007"/>
      <c r="I18" s="1007"/>
      <c r="J18" s="1007"/>
      <c r="K18" s="1007"/>
      <c r="L18" s="1007"/>
      <c r="M18" s="1007"/>
      <c r="N18" s="1008"/>
      <c r="O18" s="19">
        <f>SUM(O4:O17)</f>
        <v>9.1499999999999986</v>
      </c>
      <c r="P18" s="112"/>
    </row>
    <row r="19" spans="1:16" s="298" customFormat="1" ht="24.95" customHeight="1">
      <c r="A19" s="345"/>
      <c r="B19" s="345"/>
      <c r="C19" s="345"/>
      <c r="D19" s="345"/>
      <c r="E19" s="345"/>
      <c r="F19" s="345"/>
      <c r="G19" s="345"/>
      <c r="H19" s="345"/>
      <c r="I19" s="345"/>
      <c r="J19" s="345"/>
      <c r="K19" s="345"/>
      <c r="L19" s="345"/>
      <c r="M19" s="345"/>
      <c r="N19" s="345"/>
      <c r="O19" s="346"/>
    </row>
    <row r="20" spans="1:16" s="343" customFormat="1" ht="30" customHeight="1" thickBot="1">
      <c r="A20" s="995" t="str">
        <f>배점기준!C4</f>
        <v>수질관리</v>
      </c>
      <c r="B20" s="996"/>
      <c r="C20" s="327" t="s">
        <v>521</v>
      </c>
      <c r="D20" s="1019" t="s">
        <v>522</v>
      </c>
      <c r="E20" s="1020"/>
      <c r="F20" s="338"/>
      <c r="G20" s="339"/>
      <c r="H20" s="339"/>
      <c r="I20" s="340"/>
      <c r="J20" s="340"/>
      <c r="K20" s="340"/>
      <c r="L20" s="340"/>
      <c r="M20" s="340"/>
      <c r="N20" s="340"/>
      <c r="O20" s="341"/>
      <c r="P20" s="342"/>
    </row>
    <row r="21" spans="1:16" s="286" customFormat="1" ht="24.95" customHeight="1">
      <c r="A21" s="1013" t="s">
        <v>523</v>
      </c>
      <c r="B21" s="1015" t="s">
        <v>524</v>
      </c>
      <c r="C21" s="1017" t="s">
        <v>525</v>
      </c>
      <c r="D21" s="1017" t="s">
        <v>526</v>
      </c>
      <c r="E21" s="980" t="s">
        <v>527</v>
      </c>
      <c r="F21" s="991" t="s">
        <v>528</v>
      </c>
      <c r="G21" s="992"/>
      <c r="H21" s="992"/>
      <c r="I21" s="1000" t="s">
        <v>529</v>
      </c>
      <c r="J21" s="1005"/>
      <c r="K21" s="1001"/>
      <c r="L21" s="1009" t="s">
        <v>530</v>
      </c>
      <c r="M21" s="1011" t="s">
        <v>531</v>
      </c>
      <c r="N21" s="1012"/>
      <c r="O21" s="1009" t="s">
        <v>532</v>
      </c>
      <c r="P21" s="982" t="s">
        <v>533</v>
      </c>
    </row>
    <row r="22" spans="1:16" s="286" customFormat="1" ht="24.95" customHeight="1">
      <c r="A22" s="1014"/>
      <c r="B22" s="1016"/>
      <c r="C22" s="1018"/>
      <c r="D22" s="1018"/>
      <c r="E22" s="981"/>
      <c r="F22" s="287" t="s">
        <v>534</v>
      </c>
      <c r="G22" s="287" t="s">
        <v>535</v>
      </c>
      <c r="H22" s="287" t="s">
        <v>536</v>
      </c>
      <c r="I22" s="287" t="s">
        <v>537</v>
      </c>
      <c r="J22" s="287" t="s">
        <v>538</v>
      </c>
      <c r="K22" s="287" t="s">
        <v>539</v>
      </c>
      <c r="L22" s="1010"/>
      <c r="M22" s="6" t="s">
        <v>540</v>
      </c>
      <c r="N22" s="7" t="s">
        <v>541</v>
      </c>
      <c r="O22" s="1010"/>
      <c r="P22" s="983"/>
    </row>
    <row r="23" spans="1:16" s="296" customFormat="1" ht="24.95" customHeight="1">
      <c r="A23" s="8">
        <v>1</v>
      </c>
      <c r="B23" s="9" t="s">
        <v>172</v>
      </c>
      <c r="C23" s="9" t="s">
        <v>511</v>
      </c>
      <c r="D23" s="147"/>
      <c r="E23" s="10" t="s">
        <v>512</v>
      </c>
      <c r="F23" s="11">
        <v>34645</v>
      </c>
      <c r="G23" s="11">
        <v>36522</v>
      </c>
      <c r="H23" s="12">
        <f>IF(G23-F23&gt;=90,G23-F23,0)</f>
        <v>1877</v>
      </c>
      <c r="I23" s="11">
        <v>34645</v>
      </c>
      <c r="J23" s="11">
        <v>36522</v>
      </c>
      <c r="K23" s="12">
        <f>IF(J23-I23&gt;=30,J23-I23,0)</f>
        <v>1877</v>
      </c>
      <c r="L23" s="13">
        <f>K23/H23</f>
        <v>1</v>
      </c>
      <c r="M23" s="14">
        <v>1</v>
      </c>
      <c r="N23" s="15">
        <v>0.6</v>
      </c>
      <c r="O23" s="16">
        <f>ROUND(L23*M23*N23,2)</f>
        <v>0.6</v>
      </c>
      <c r="P23" s="984"/>
    </row>
    <row r="24" spans="1:16" s="298" customFormat="1" ht="24.95" customHeight="1">
      <c r="A24" s="17">
        <v>2</v>
      </c>
      <c r="B24" s="9" t="s">
        <v>173</v>
      </c>
      <c r="C24" s="9" t="s">
        <v>511</v>
      </c>
      <c r="D24" s="147"/>
      <c r="E24" s="10" t="s">
        <v>512</v>
      </c>
      <c r="F24" s="11">
        <v>34692</v>
      </c>
      <c r="G24" s="11">
        <v>37063</v>
      </c>
      <c r="H24" s="12">
        <f t="shared" ref="H24:H36" si="4">IF(G24-F24&gt;=90,G24-F24,0)</f>
        <v>2371</v>
      </c>
      <c r="I24" s="11">
        <v>34692</v>
      </c>
      <c r="J24" s="11">
        <v>36525</v>
      </c>
      <c r="K24" s="12">
        <f t="shared" ref="K24:K36" si="5">IF(J24-I24&gt;=30,J24-I24,0)</f>
        <v>1833</v>
      </c>
      <c r="L24" s="13">
        <f t="shared" ref="L24:L36" si="6">K24/H24</f>
        <v>0.7730915225643189</v>
      </c>
      <c r="M24" s="14">
        <v>0.6</v>
      </c>
      <c r="N24" s="15">
        <v>0.6</v>
      </c>
      <c r="O24" s="16">
        <f t="shared" ref="O24:O36" si="7">ROUND(L24*M24*N24,2)</f>
        <v>0.28000000000000003</v>
      </c>
      <c r="P24" s="985"/>
    </row>
    <row r="25" spans="1:16" s="298" customFormat="1" ht="24.95" customHeight="1">
      <c r="A25" s="17">
        <v>3</v>
      </c>
      <c r="B25" s="9" t="s">
        <v>174</v>
      </c>
      <c r="C25" s="9" t="s">
        <v>511</v>
      </c>
      <c r="D25" s="147"/>
      <c r="E25" s="10" t="s">
        <v>512</v>
      </c>
      <c r="F25" s="11">
        <v>34967</v>
      </c>
      <c r="G25" s="11">
        <v>36871</v>
      </c>
      <c r="H25" s="12">
        <f t="shared" si="4"/>
        <v>1904</v>
      </c>
      <c r="I25" s="11">
        <v>34967</v>
      </c>
      <c r="J25" s="11">
        <v>36871</v>
      </c>
      <c r="K25" s="12">
        <f t="shared" si="5"/>
        <v>1904</v>
      </c>
      <c r="L25" s="13">
        <f t="shared" si="6"/>
        <v>1</v>
      </c>
      <c r="M25" s="14">
        <v>1</v>
      </c>
      <c r="N25" s="15">
        <v>1</v>
      </c>
      <c r="O25" s="16">
        <f t="shared" si="7"/>
        <v>1</v>
      </c>
      <c r="P25" s="985"/>
    </row>
    <row r="26" spans="1:16" s="298" customFormat="1" ht="24.95" customHeight="1">
      <c r="A26" s="17">
        <v>4</v>
      </c>
      <c r="B26" s="9" t="s">
        <v>175</v>
      </c>
      <c r="C26" s="9" t="s">
        <v>511</v>
      </c>
      <c r="D26" s="147"/>
      <c r="E26" s="10" t="s">
        <v>512</v>
      </c>
      <c r="F26" s="11">
        <v>36194</v>
      </c>
      <c r="G26" s="11">
        <v>37008</v>
      </c>
      <c r="H26" s="12">
        <f t="shared" si="4"/>
        <v>814</v>
      </c>
      <c r="I26" s="11">
        <v>36194</v>
      </c>
      <c r="J26" s="11">
        <v>37008</v>
      </c>
      <c r="K26" s="12">
        <f t="shared" si="5"/>
        <v>814</v>
      </c>
      <c r="L26" s="13">
        <f t="shared" si="6"/>
        <v>1</v>
      </c>
      <c r="M26" s="14">
        <v>0.6</v>
      </c>
      <c r="N26" s="15">
        <v>1</v>
      </c>
      <c r="O26" s="16">
        <f t="shared" si="7"/>
        <v>0.6</v>
      </c>
      <c r="P26" s="985"/>
    </row>
    <row r="27" spans="1:16" s="298" customFormat="1" ht="24.95" customHeight="1">
      <c r="A27" s="17">
        <v>5</v>
      </c>
      <c r="B27" s="9" t="s">
        <v>513</v>
      </c>
      <c r="C27" s="9" t="s">
        <v>511</v>
      </c>
      <c r="D27" s="147"/>
      <c r="E27" s="10" t="s">
        <v>512</v>
      </c>
      <c r="F27" s="11">
        <v>37369</v>
      </c>
      <c r="G27" s="11">
        <v>37954</v>
      </c>
      <c r="H27" s="12">
        <f t="shared" si="4"/>
        <v>585</v>
      </c>
      <c r="I27" s="11">
        <v>37369</v>
      </c>
      <c r="J27" s="11">
        <v>37954</v>
      </c>
      <c r="K27" s="12">
        <f t="shared" si="5"/>
        <v>585</v>
      </c>
      <c r="L27" s="13">
        <f t="shared" si="6"/>
        <v>1</v>
      </c>
      <c r="M27" s="14">
        <v>1</v>
      </c>
      <c r="N27" s="15">
        <v>0.6</v>
      </c>
      <c r="O27" s="16">
        <f t="shared" si="7"/>
        <v>0.6</v>
      </c>
      <c r="P27" s="985"/>
    </row>
    <row r="28" spans="1:16" s="296" customFormat="1" ht="24.95" customHeight="1">
      <c r="A28" s="17">
        <v>7</v>
      </c>
      <c r="B28" s="9" t="s">
        <v>176</v>
      </c>
      <c r="C28" s="9" t="s">
        <v>511</v>
      </c>
      <c r="D28" s="147"/>
      <c r="E28" s="10" t="s">
        <v>512</v>
      </c>
      <c r="F28" s="11">
        <v>37673</v>
      </c>
      <c r="G28" s="11">
        <v>38929</v>
      </c>
      <c r="H28" s="12">
        <f t="shared" si="4"/>
        <v>1256</v>
      </c>
      <c r="I28" s="11">
        <v>37673</v>
      </c>
      <c r="J28" s="11">
        <v>38929</v>
      </c>
      <c r="K28" s="12">
        <f t="shared" si="5"/>
        <v>1256</v>
      </c>
      <c r="L28" s="13">
        <f t="shared" si="6"/>
        <v>1</v>
      </c>
      <c r="M28" s="14">
        <v>0.6</v>
      </c>
      <c r="N28" s="15">
        <v>0.6</v>
      </c>
      <c r="O28" s="16">
        <f t="shared" si="7"/>
        <v>0.36</v>
      </c>
      <c r="P28" s="985"/>
    </row>
    <row r="29" spans="1:16" s="296" customFormat="1" ht="24.95" customHeight="1">
      <c r="A29" s="17">
        <v>8</v>
      </c>
      <c r="B29" s="9" t="s">
        <v>177</v>
      </c>
      <c r="C29" s="9" t="s">
        <v>511</v>
      </c>
      <c r="D29" s="147"/>
      <c r="E29" s="10" t="s">
        <v>512</v>
      </c>
      <c r="F29" s="11">
        <v>38240</v>
      </c>
      <c r="G29" s="11">
        <v>39562</v>
      </c>
      <c r="H29" s="12">
        <f t="shared" si="4"/>
        <v>1322</v>
      </c>
      <c r="I29" s="11">
        <v>38240</v>
      </c>
      <c r="J29" s="11">
        <v>39562</v>
      </c>
      <c r="K29" s="12">
        <f t="shared" si="5"/>
        <v>1322</v>
      </c>
      <c r="L29" s="13">
        <f t="shared" si="6"/>
        <v>1</v>
      </c>
      <c r="M29" s="14">
        <v>1</v>
      </c>
      <c r="N29" s="15">
        <v>1</v>
      </c>
      <c r="O29" s="16">
        <f t="shared" si="7"/>
        <v>1</v>
      </c>
      <c r="P29" s="985"/>
    </row>
    <row r="30" spans="1:16" s="296" customFormat="1" ht="24.95" customHeight="1">
      <c r="A30" s="17">
        <v>9</v>
      </c>
      <c r="B30" s="9" t="s">
        <v>514</v>
      </c>
      <c r="C30" s="9" t="s">
        <v>511</v>
      </c>
      <c r="D30" s="147"/>
      <c r="E30" s="10" t="s">
        <v>512</v>
      </c>
      <c r="F30" s="11">
        <v>38078</v>
      </c>
      <c r="G30" s="11">
        <v>38660</v>
      </c>
      <c r="H30" s="12">
        <f t="shared" si="4"/>
        <v>582</v>
      </c>
      <c r="I30" s="11">
        <v>38078</v>
      </c>
      <c r="J30" s="11">
        <v>38660</v>
      </c>
      <c r="K30" s="12">
        <f t="shared" si="5"/>
        <v>582</v>
      </c>
      <c r="L30" s="13">
        <f t="shared" si="6"/>
        <v>1</v>
      </c>
      <c r="M30" s="14">
        <v>0.6</v>
      </c>
      <c r="N30" s="15">
        <v>1</v>
      </c>
      <c r="O30" s="16">
        <f t="shared" si="7"/>
        <v>0.6</v>
      </c>
      <c r="P30" s="985"/>
    </row>
    <row r="31" spans="1:16" s="296" customFormat="1" ht="24.95" customHeight="1">
      <c r="A31" s="17">
        <v>10</v>
      </c>
      <c r="B31" s="9" t="s">
        <v>515</v>
      </c>
      <c r="C31" s="9" t="s">
        <v>511</v>
      </c>
      <c r="D31" s="147"/>
      <c r="E31" s="10" t="s">
        <v>512</v>
      </c>
      <c r="F31" s="18">
        <v>38127</v>
      </c>
      <c r="G31" s="18">
        <v>38717</v>
      </c>
      <c r="H31" s="12">
        <f t="shared" si="4"/>
        <v>590</v>
      </c>
      <c r="I31" s="11">
        <v>38127</v>
      </c>
      <c r="J31" s="11">
        <v>38717</v>
      </c>
      <c r="K31" s="12">
        <f t="shared" si="5"/>
        <v>590</v>
      </c>
      <c r="L31" s="13">
        <f t="shared" si="6"/>
        <v>1</v>
      </c>
      <c r="M31" s="14">
        <v>1</v>
      </c>
      <c r="N31" s="15">
        <v>0.6</v>
      </c>
      <c r="O31" s="16">
        <f t="shared" si="7"/>
        <v>0.6</v>
      </c>
      <c r="P31" s="985"/>
    </row>
    <row r="32" spans="1:16" s="296" customFormat="1" ht="24.95" customHeight="1">
      <c r="A32" s="17">
        <v>11</v>
      </c>
      <c r="B32" s="9" t="s">
        <v>516</v>
      </c>
      <c r="C32" s="9" t="s">
        <v>511</v>
      </c>
      <c r="D32" s="147"/>
      <c r="E32" s="10" t="s">
        <v>512</v>
      </c>
      <c r="F32" s="18">
        <v>38098</v>
      </c>
      <c r="G32" s="11">
        <v>38717</v>
      </c>
      <c r="H32" s="12">
        <f t="shared" si="4"/>
        <v>619</v>
      </c>
      <c r="I32" s="11">
        <v>38098</v>
      </c>
      <c r="J32" s="11">
        <v>38656</v>
      </c>
      <c r="K32" s="12">
        <f t="shared" si="5"/>
        <v>558</v>
      </c>
      <c r="L32" s="13">
        <f t="shared" si="6"/>
        <v>0.90145395799676897</v>
      </c>
      <c r="M32" s="14">
        <v>0.6</v>
      </c>
      <c r="N32" s="15">
        <v>0.6</v>
      </c>
      <c r="O32" s="16">
        <f t="shared" si="7"/>
        <v>0.32</v>
      </c>
      <c r="P32" s="985"/>
    </row>
    <row r="33" spans="1:16" s="296" customFormat="1" ht="24.95" customHeight="1">
      <c r="A33" s="17">
        <v>12</v>
      </c>
      <c r="B33" s="9" t="s">
        <v>517</v>
      </c>
      <c r="C33" s="9" t="s">
        <v>511</v>
      </c>
      <c r="D33" s="147"/>
      <c r="E33" s="10" t="s">
        <v>512</v>
      </c>
      <c r="F33" s="18">
        <v>37376</v>
      </c>
      <c r="G33" s="18">
        <v>38730</v>
      </c>
      <c r="H33" s="12">
        <f t="shared" si="4"/>
        <v>1354</v>
      </c>
      <c r="I33" s="11">
        <v>38472</v>
      </c>
      <c r="J33" s="11">
        <v>38730</v>
      </c>
      <c r="K33" s="12">
        <f t="shared" si="5"/>
        <v>258</v>
      </c>
      <c r="L33" s="13">
        <f t="shared" si="6"/>
        <v>0.19054652880354506</v>
      </c>
      <c r="M33" s="14">
        <v>1</v>
      </c>
      <c r="N33" s="15">
        <v>1</v>
      </c>
      <c r="O33" s="16">
        <f t="shared" si="7"/>
        <v>0.19</v>
      </c>
      <c r="P33" s="985"/>
    </row>
    <row r="34" spans="1:16" s="296" customFormat="1" ht="24.95" customHeight="1">
      <c r="A34" s="17">
        <v>13</v>
      </c>
      <c r="B34" s="9" t="s">
        <v>518</v>
      </c>
      <c r="C34" s="9" t="s">
        <v>511</v>
      </c>
      <c r="D34" s="147"/>
      <c r="E34" s="10" t="s">
        <v>512</v>
      </c>
      <c r="F34" s="18">
        <v>38750</v>
      </c>
      <c r="G34" s="11">
        <v>39082</v>
      </c>
      <c r="H34" s="12">
        <f t="shared" si="4"/>
        <v>332</v>
      </c>
      <c r="I34" s="11">
        <v>38750</v>
      </c>
      <c r="J34" s="11">
        <v>39082</v>
      </c>
      <c r="K34" s="12">
        <f t="shared" si="5"/>
        <v>332</v>
      </c>
      <c r="L34" s="13">
        <f t="shared" si="6"/>
        <v>1</v>
      </c>
      <c r="M34" s="14">
        <v>0.6</v>
      </c>
      <c r="N34" s="15">
        <v>1</v>
      </c>
      <c r="O34" s="16">
        <f t="shared" si="7"/>
        <v>0.6</v>
      </c>
      <c r="P34" s="985"/>
    </row>
    <row r="35" spans="1:16" s="296" customFormat="1" ht="24.95" customHeight="1">
      <c r="A35" s="17">
        <v>15</v>
      </c>
      <c r="B35" s="9" t="s">
        <v>178</v>
      </c>
      <c r="C35" s="9" t="s">
        <v>511</v>
      </c>
      <c r="D35" s="147"/>
      <c r="E35" s="10" t="s">
        <v>512</v>
      </c>
      <c r="F35" s="18">
        <v>37435</v>
      </c>
      <c r="G35" s="11">
        <v>39414</v>
      </c>
      <c r="H35" s="12">
        <f t="shared" si="4"/>
        <v>1979</v>
      </c>
      <c r="I35" s="11">
        <v>37435</v>
      </c>
      <c r="J35" s="11">
        <v>39414</v>
      </c>
      <c r="K35" s="12">
        <f t="shared" si="5"/>
        <v>1979</v>
      </c>
      <c r="L35" s="13">
        <f t="shared" si="6"/>
        <v>1</v>
      </c>
      <c r="M35" s="14">
        <v>1</v>
      </c>
      <c r="N35" s="15">
        <v>1</v>
      </c>
      <c r="O35" s="16">
        <f t="shared" si="7"/>
        <v>1</v>
      </c>
      <c r="P35" s="985"/>
    </row>
    <row r="36" spans="1:16" s="296" customFormat="1" ht="24.95" customHeight="1">
      <c r="A36" s="17">
        <v>16</v>
      </c>
      <c r="B36" s="9" t="s">
        <v>519</v>
      </c>
      <c r="C36" s="9" t="s">
        <v>511</v>
      </c>
      <c r="D36" s="147"/>
      <c r="E36" s="10" t="s">
        <v>512</v>
      </c>
      <c r="F36" s="18">
        <v>38834</v>
      </c>
      <c r="G36" s="18">
        <v>39482</v>
      </c>
      <c r="H36" s="12">
        <f t="shared" si="4"/>
        <v>648</v>
      </c>
      <c r="I36" s="11">
        <v>38834</v>
      </c>
      <c r="J36" s="11">
        <v>39482</v>
      </c>
      <c r="K36" s="12">
        <f t="shared" si="5"/>
        <v>648</v>
      </c>
      <c r="L36" s="13">
        <f t="shared" si="6"/>
        <v>1</v>
      </c>
      <c r="M36" s="14">
        <v>1</v>
      </c>
      <c r="N36" s="15">
        <v>1</v>
      </c>
      <c r="O36" s="16">
        <f t="shared" si="7"/>
        <v>1</v>
      </c>
      <c r="P36" s="985"/>
    </row>
    <row r="37" spans="1:16" s="298" customFormat="1" ht="24.95" customHeight="1" thickBot="1">
      <c r="A37" s="1006" t="s">
        <v>520</v>
      </c>
      <c r="B37" s="1007"/>
      <c r="C37" s="1007"/>
      <c r="D37" s="1007"/>
      <c r="E37" s="1007"/>
      <c r="F37" s="1007"/>
      <c r="G37" s="1007"/>
      <c r="H37" s="1007"/>
      <c r="I37" s="1007"/>
      <c r="J37" s="1007"/>
      <c r="K37" s="1007"/>
      <c r="L37" s="1007"/>
      <c r="M37" s="1007"/>
      <c r="N37" s="1008"/>
      <c r="O37" s="19">
        <f>SUM(O23:O36)</f>
        <v>8.75</v>
      </c>
      <c r="P37" s="347"/>
    </row>
    <row r="38" spans="1:16" s="298" customFormat="1" ht="24.95" customHeight="1">
      <c r="A38" s="345"/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8"/>
    </row>
    <row r="39" spans="1:16" s="343" customFormat="1" ht="30" customHeight="1" thickBot="1">
      <c r="A39" s="995" t="str">
        <f>배점기준!C5</f>
        <v>소음진동</v>
      </c>
      <c r="B39" s="996"/>
      <c r="C39" s="327" t="s">
        <v>521</v>
      </c>
      <c r="D39" s="1019" t="s">
        <v>522</v>
      </c>
      <c r="E39" s="1020"/>
      <c r="F39" s="338"/>
      <c r="G39" s="339"/>
      <c r="H39" s="339"/>
      <c r="I39" s="340"/>
      <c r="J39" s="340"/>
      <c r="K39" s="340"/>
      <c r="L39" s="340"/>
      <c r="M39" s="340"/>
      <c r="N39" s="340"/>
      <c r="O39" s="341"/>
      <c r="P39" s="342"/>
    </row>
    <row r="40" spans="1:16" s="286" customFormat="1" ht="24.95" customHeight="1">
      <c r="A40" s="1013" t="s">
        <v>523</v>
      </c>
      <c r="B40" s="1015" t="s">
        <v>524</v>
      </c>
      <c r="C40" s="1017" t="s">
        <v>525</v>
      </c>
      <c r="D40" s="1017" t="s">
        <v>526</v>
      </c>
      <c r="E40" s="980" t="s">
        <v>527</v>
      </c>
      <c r="F40" s="991" t="s">
        <v>528</v>
      </c>
      <c r="G40" s="992"/>
      <c r="H40" s="992"/>
      <c r="I40" s="1000" t="s">
        <v>529</v>
      </c>
      <c r="J40" s="1005"/>
      <c r="K40" s="1001"/>
      <c r="L40" s="1009" t="s">
        <v>530</v>
      </c>
      <c r="M40" s="1011" t="s">
        <v>531</v>
      </c>
      <c r="N40" s="1012"/>
      <c r="O40" s="1009" t="s">
        <v>532</v>
      </c>
      <c r="P40" s="982" t="s">
        <v>533</v>
      </c>
    </row>
    <row r="41" spans="1:16" s="286" customFormat="1" ht="24.95" customHeight="1">
      <c r="A41" s="1014"/>
      <c r="B41" s="1016"/>
      <c r="C41" s="1018"/>
      <c r="D41" s="1018"/>
      <c r="E41" s="981"/>
      <c r="F41" s="287" t="s">
        <v>534</v>
      </c>
      <c r="G41" s="287" t="s">
        <v>535</v>
      </c>
      <c r="H41" s="287" t="s">
        <v>536</v>
      </c>
      <c r="I41" s="287" t="s">
        <v>537</v>
      </c>
      <c r="J41" s="287" t="s">
        <v>538</v>
      </c>
      <c r="K41" s="287" t="s">
        <v>539</v>
      </c>
      <c r="L41" s="1010"/>
      <c r="M41" s="6" t="s">
        <v>540</v>
      </c>
      <c r="N41" s="7" t="s">
        <v>541</v>
      </c>
      <c r="O41" s="1010"/>
      <c r="P41" s="983"/>
    </row>
    <row r="42" spans="1:16" s="296" customFormat="1" ht="24.95" customHeight="1">
      <c r="A42" s="8">
        <v>1</v>
      </c>
      <c r="B42" s="9" t="s">
        <v>172</v>
      </c>
      <c r="C42" s="9" t="s">
        <v>511</v>
      </c>
      <c r="D42" s="147"/>
      <c r="E42" s="10" t="s">
        <v>512</v>
      </c>
      <c r="F42" s="11">
        <v>34645</v>
      </c>
      <c r="G42" s="11">
        <v>36522</v>
      </c>
      <c r="H42" s="12">
        <f>IF(G42-F42&gt;=90,G42-F42,0)</f>
        <v>1877</v>
      </c>
      <c r="I42" s="11">
        <v>34645</v>
      </c>
      <c r="J42" s="11">
        <v>36522</v>
      </c>
      <c r="K42" s="12">
        <f>IF(J42-I42&gt;=30,J42-I42,0)</f>
        <v>1877</v>
      </c>
      <c r="L42" s="13">
        <f>K42/H42</f>
        <v>1</v>
      </c>
      <c r="M42" s="14">
        <v>1</v>
      </c>
      <c r="N42" s="15">
        <v>0.6</v>
      </c>
      <c r="O42" s="16">
        <f>ROUND(L42*M42*N42,2)</f>
        <v>0.6</v>
      </c>
      <c r="P42" s="984"/>
    </row>
    <row r="43" spans="1:16" s="298" customFormat="1" ht="24.95" customHeight="1">
      <c r="A43" s="17">
        <v>2</v>
      </c>
      <c r="B43" s="9" t="s">
        <v>173</v>
      </c>
      <c r="C43" s="9" t="s">
        <v>511</v>
      </c>
      <c r="D43" s="147"/>
      <c r="E43" s="10" t="s">
        <v>512</v>
      </c>
      <c r="F43" s="11">
        <v>34692</v>
      </c>
      <c r="G43" s="11">
        <v>37063</v>
      </c>
      <c r="H43" s="12">
        <f t="shared" ref="H43:H55" si="8">IF(G43-F43&gt;=90,G43-F43,0)</f>
        <v>2371</v>
      </c>
      <c r="I43" s="11">
        <v>34692</v>
      </c>
      <c r="J43" s="11">
        <v>36525</v>
      </c>
      <c r="K43" s="12">
        <f t="shared" ref="K43:K55" si="9">IF(J43-I43&gt;=30,J43-I43,0)</f>
        <v>1833</v>
      </c>
      <c r="L43" s="13">
        <f t="shared" ref="L43:L55" si="10">K43/H43</f>
        <v>0.7730915225643189</v>
      </c>
      <c r="M43" s="14">
        <v>0.6</v>
      </c>
      <c r="N43" s="15">
        <v>0.6</v>
      </c>
      <c r="O43" s="16">
        <f t="shared" ref="O43:O55" si="11">ROUND(L43*M43*N43,2)</f>
        <v>0.28000000000000003</v>
      </c>
      <c r="P43" s="985"/>
    </row>
    <row r="44" spans="1:16" s="298" customFormat="1" ht="24.95" customHeight="1">
      <c r="A44" s="17">
        <v>3</v>
      </c>
      <c r="B44" s="9" t="s">
        <v>174</v>
      </c>
      <c r="C44" s="9" t="s">
        <v>511</v>
      </c>
      <c r="D44" s="147"/>
      <c r="E44" s="10" t="s">
        <v>512</v>
      </c>
      <c r="F44" s="11">
        <v>34967</v>
      </c>
      <c r="G44" s="11">
        <v>36871</v>
      </c>
      <c r="H44" s="12">
        <f t="shared" si="8"/>
        <v>1904</v>
      </c>
      <c r="I44" s="11">
        <v>34967</v>
      </c>
      <c r="J44" s="11">
        <v>36871</v>
      </c>
      <c r="K44" s="12">
        <f t="shared" si="9"/>
        <v>1904</v>
      </c>
      <c r="L44" s="13">
        <f t="shared" si="10"/>
        <v>1</v>
      </c>
      <c r="M44" s="14">
        <v>1</v>
      </c>
      <c r="N44" s="15">
        <v>1</v>
      </c>
      <c r="O44" s="16">
        <f t="shared" si="11"/>
        <v>1</v>
      </c>
      <c r="P44" s="985"/>
    </row>
    <row r="45" spans="1:16" s="298" customFormat="1" ht="24.95" customHeight="1">
      <c r="A45" s="17">
        <v>4</v>
      </c>
      <c r="B45" s="9" t="s">
        <v>175</v>
      </c>
      <c r="C45" s="9" t="s">
        <v>511</v>
      </c>
      <c r="D45" s="147"/>
      <c r="E45" s="10" t="s">
        <v>512</v>
      </c>
      <c r="F45" s="11">
        <v>36194</v>
      </c>
      <c r="G45" s="11">
        <v>37008</v>
      </c>
      <c r="H45" s="12">
        <f t="shared" si="8"/>
        <v>814</v>
      </c>
      <c r="I45" s="11">
        <v>36194</v>
      </c>
      <c r="J45" s="11">
        <v>37008</v>
      </c>
      <c r="K45" s="12">
        <f t="shared" si="9"/>
        <v>814</v>
      </c>
      <c r="L45" s="13">
        <f t="shared" si="10"/>
        <v>1</v>
      </c>
      <c r="M45" s="14">
        <v>0.6</v>
      </c>
      <c r="N45" s="15">
        <v>1</v>
      </c>
      <c r="O45" s="16">
        <f t="shared" si="11"/>
        <v>0.6</v>
      </c>
      <c r="P45" s="985"/>
    </row>
    <row r="46" spans="1:16" s="298" customFormat="1" ht="24.95" customHeight="1">
      <c r="A46" s="17">
        <v>5</v>
      </c>
      <c r="B46" s="9" t="s">
        <v>513</v>
      </c>
      <c r="C46" s="9" t="s">
        <v>511</v>
      </c>
      <c r="D46" s="147"/>
      <c r="E46" s="10" t="s">
        <v>512</v>
      </c>
      <c r="F46" s="11">
        <v>37369</v>
      </c>
      <c r="G46" s="11">
        <v>37954</v>
      </c>
      <c r="H46" s="12">
        <f t="shared" si="8"/>
        <v>585</v>
      </c>
      <c r="I46" s="11">
        <v>37369</v>
      </c>
      <c r="J46" s="11">
        <v>37954</v>
      </c>
      <c r="K46" s="12">
        <f t="shared" si="9"/>
        <v>585</v>
      </c>
      <c r="L46" s="13">
        <f t="shared" si="10"/>
        <v>1</v>
      </c>
      <c r="M46" s="14">
        <v>1</v>
      </c>
      <c r="N46" s="15">
        <v>0.6</v>
      </c>
      <c r="O46" s="16">
        <f t="shared" si="11"/>
        <v>0.6</v>
      </c>
      <c r="P46" s="985"/>
    </row>
    <row r="47" spans="1:16" s="296" customFormat="1" ht="24.95" customHeight="1">
      <c r="A47" s="17">
        <v>7</v>
      </c>
      <c r="B47" s="9" t="s">
        <v>176</v>
      </c>
      <c r="C47" s="9" t="s">
        <v>511</v>
      </c>
      <c r="D47" s="147"/>
      <c r="E47" s="10" t="s">
        <v>512</v>
      </c>
      <c r="F47" s="11">
        <v>37673</v>
      </c>
      <c r="G47" s="11">
        <v>38929</v>
      </c>
      <c r="H47" s="12">
        <f t="shared" si="8"/>
        <v>1256</v>
      </c>
      <c r="I47" s="11">
        <v>37673</v>
      </c>
      <c r="J47" s="11">
        <v>38929</v>
      </c>
      <c r="K47" s="12">
        <f t="shared" si="9"/>
        <v>1256</v>
      </c>
      <c r="L47" s="13">
        <f t="shared" si="10"/>
        <v>1</v>
      </c>
      <c r="M47" s="14">
        <v>0.6</v>
      </c>
      <c r="N47" s="15">
        <v>0.6</v>
      </c>
      <c r="O47" s="16">
        <f t="shared" si="11"/>
        <v>0.36</v>
      </c>
      <c r="P47" s="985"/>
    </row>
    <row r="48" spans="1:16" s="296" customFormat="1" ht="24.95" customHeight="1">
      <c r="A48" s="17">
        <v>8</v>
      </c>
      <c r="B48" s="9" t="s">
        <v>177</v>
      </c>
      <c r="C48" s="9" t="s">
        <v>511</v>
      </c>
      <c r="D48" s="147"/>
      <c r="E48" s="10" t="s">
        <v>512</v>
      </c>
      <c r="F48" s="11">
        <v>38240</v>
      </c>
      <c r="G48" s="11">
        <v>39562</v>
      </c>
      <c r="H48" s="12">
        <f t="shared" si="8"/>
        <v>1322</v>
      </c>
      <c r="I48" s="11">
        <v>38240</v>
      </c>
      <c r="J48" s="11">
        <v>39562</v>
      </c>
      <c r="K48" s="12">
        <f t="shared" si="9"/>
        <v>1322</v>
      </c>
      <c r="L48" s="13">
        <f t="shared" si="10"/>
        <v>1</v>
      </c>
      <c r="M48" s="14">
        <v>1</v>
      </c>
      <c r="N48" s="15">
        <v>1</v>
      </c>
      <c r="O48" s="16">
        <f t="shared" si="11"/>
        <v>1</v>
      </c>
      <c r="P48" s="985"/>
    </row>
    <row r="49" spans="1:16" s="296" customFormat="1" ht="24.95" customHeight="1">
      <c r="A49" s="17">
        <v>9</v>
      </c>
      <c r="B49" s="9" t="s">
        <v>514</v>
      </c>
      <c r="C49" s="9" t="s">
        <v>511</v>
      </c>
      <c r="D49" s="147"/>
      <c r="E49" s="10" t="s">
        <v>512</v>
      </c>
      <c r="F49" s="11">
        <v>38078</v>
      </c>
      <c r="G49" s="11">
        <v>38660</v>
      </c>
      <c r="H49" s="12">
        <f t="shared" si="8"/>
        <v>582</v>
      </c>
      <c r="I49" s="11">
        <v>38078</v>
      </c>
      <c r="J49" s="11">
        <v>38660</v>
      </c>
      <c r="K49" s="12">
        <f t="shared" si="9"/>
        <v>582</v>
      </c>
      <c r="L49" s="13">
        <f t="shared" si="10"/>
        <v>1</v>
      </c>
      <c r="M49" s="14">
        <v>0.6</v>
      </c>
      <c r="N49" s="15">
        <v>1</v>
      </c>
      <c r="O49" s="16">
        <f t="shared" si="11"/>
        <v>0.6</v>
      </c>
      <c r="P49" s="985"/>
    </row>
    <row r="50" spans="1:16" s="296" customFormat="1" ht="24.95" customHeight="1">
      <c r="A50" s="17">
        <v>10</v>
      </c>
      <c r="B50" s="9" t="s">
        <v>515</v>
      </c>
      <c r="C50" s="9" t="s">
        <v>511</v>
      </c>
      <c r="D50" s="147"/>
      <c r="E50" s="10" t="s">
        <v>512</v>
      </c>
      <c r="F50" s="18">
        <v>38127</v>
      </c>
      <c r="G50" s="18">
        <v>38717</v>
      </c>
      <c r="H50" s="12">
        <f t="shared" si="8"/>
        <v>590</v>
      </c>
      <c r="I50" s="11">
        <v>38127</v>
      </c>
      <c r="J50" s="11">
        <v>38717</v>
      </c>
      <c r="K50" s="12">
        <f t="shared" si="9"/>
        <v>590</v>
      </c>
      <c r="L50" s="13">
        <f t="shared" si="10"/>
        <v>1</v>
      </c>
      <c r="M50" s="14">
        <v>1</v>
      </c>
      <c r="N50" s="15">
        <v>0.6</v>
      </c>
      <c r="O50" s="16">
        <f t="shared" si="11"/>
        <v>0.6</v>
      </c>
      <c r="P50" s="985"/>
    </row>
    <row r="51" spans="1:16" s="296" customFormat="1" ht="24.95" customHeight="1">
      <c r="A51" s="17">
        <v>11</v>
      </c>
      <c r="B51" s="9" t="s">
        <v>516</v>
      </c>
      <c r="C51" s="9" t="s">
        <v>511</v>
      </c>
      <c r="D51" s="147"/>
      <c r="E51" s="10" t="s">
        <v>512</v>
      </c>
      <c r="F51" s="18">
        <v>38098</v>
      </c>
      <c r="G51" s="11">
        <v>38717</v>
      </c>
      <c r="H51" s="12">
        <f t="shared" si="8"/>
        <v>619</v>
      </c>
      <c r="I51" s="11">
        <v>38098</v>
      </c>
      <c r="J51" s="11">
        <v>38656</v>
      </c>
      <c r="K51" s="12">
        <f t="shared" si="9"/>
        <v>558</v>
      </c>
      <c r="L51" s="13">
        <f t="shared" si="10"/>
        <v>0.90145395799676897</v>
      </c>
      <c r="M51" s="14">
        <v>0.6</v>
      </c>
      <c r="N51" s="15">
        <v>0.6</v>
      </c>
      <c r="O51" s="16">
        <f t="shared" si="11"/>
        <v>0.32</v>
      </c>
      <c r="P51" s="985"/>
    </row>
    <row r="52" spans="1:16" s="296" customFormat="1" ht="24.95" customHeight="1">
      <c r="A52" s="17">
        <v>12</v>
      </c>
      <c r="B52" s="9" t="s">
        <v>517</v>
      </c>
      <c r="C52" s="9" t="s">
        <v>511</v>
      </c>
      <c r="D52" s="147"/>
      <c r="E52" s="10" t="s">
        <v>512</v>
      </c>
      <c r="F52" s="18">
        <v>37376</v>
      </c>
      <c r="G52" s="18">
        <v>38730</v>
      </c>
      <c r="H52" s="12">
        <f t="shared" si="8"/>
        <v>1354</v>
      </c>
      <c r="I52" s="11">
        <v>38472</v>
      </c>
      <c r="J52" s="11">
        <v>38730</v>
      </c>
      <c r="K52" s="12">
        <f t="shared" si="9"/>
        <v>258</v>
      </c>
      <c r="L52" s="13">
        <f t="shared" si="10"/>
        <v>0.19054652880354506</v>
      </c>
      <c r="M52" s="14">
        <v>1</v>
      </c>
      <c r="N52" s="15">
        <v>1</v>
      </c>
      <c r="O52" s="16">
        <f t="shared" si="11"/>
        <v>0.19</v>
      </c>
      <c r="P52" s="985"/>
    </row>
    <row r="53" spans="1:16" s="296" customFormat="1" ht="24.95" customHeight="1">
      <c r="A53" s="17">
        <v>13</v>
      </c>
      <c r="B53" s="9" t="s">
        <v>518</v>
      </c>
      <c r="C53" s="9" t="s">
        <v>511</v>
      </c>
      <c r="D53" s="147"/>
      <c r="E53" s="10" t="s">
        <v>512</v>
      </c>
      <c r="F53" s="18">
        <v>38750</v>
      </c>
      <c r="G53" s="11">
        <v>39082</v>
      </c>
      <c r="H53" s="12">
        <f t="shared" si="8"/>
        <v>332</v>
      </c>
      <c r="I53" s="11">
        <v>38750</v>
      </c>
      <c r="J53" s="11">
        <v>39082</v>
      </c>
      <c r="K53" s="12">
        <f t="shared" si="9"/>
        <v>332</v>
      </c>
      <c r="L53" s="13">
        <f t="shared" si="10"/>
        <v>1</v>
      </c>
      <c r="M53" s="14">
        <v>0.6</v>
      </c>
      <c r="N53" s="15">
        <v>1</v>
      </c>
      <c r="O53" s="16">
        <f t="shared" si="11"/>
        <v>0.6</v>
      </c>
      <c r="P53" s="985"/>
    </row>
    <row r="54" spans="1:16" s="296" customFormat="1" ht="24.95" customHeight="1">
      <c r="A54" s="17">
        <v>15</v>
      </c>
      <c r="B54" s="9" t="s">
        <v>178</v>
      </c>
      <c r="C54" s="9" t="s">
        <v>511</v>
      </c>
      <c r="D54" s="147"/>
      <c r="E54" s="10" t="s">
        <v>512</v>
      </c>
      <c r="F54" s="18">
        <v>37435</v>
      </c>
      <c r="G54" s="11">
        <v>39414</v>
      </c>
      <c r="H54" s="12">
        <f t="shared" si="8"/>
        <v>1979</v>
      </c>
      <c r="I54" s="11">
        <v>37435</v>
      </c>
      <c r="J54" s="11">
        <v>39414</v>
      </c>
      <c r="K54" s="12">
        <f t="shared" si="9"/>
        <v>1979</v>
      </c>
      <c r="L54" s="13">
        <f t="shared" si="10"/>
        <v>1</v>
      </c>
      <c r="M54" s="14">
        <v>1</v>
      </c>
      <c r="N54" s="15">
        <v>1</v>
      </c>
      <c r="O54" s="16">
        <f t="shared" si="11"/>
        <v>1</v>
      </c>
      <c r="P54" s="985"/>
    </row>
    <row r="55" spans="1:16" s="296" customFormat="1" ht="24.95" customHeight="1">
      <c r="A55" s="17">
        <v>16</v>
      </c>
      <c r="B55" s="9" t="s">
        <v>519</v>
      </c>
      <c r="C55" s="9" t="s">
        <v>511</v>
      </c>
      <c r="D55" s="147"/>
      <c r="E55" s="10" t="s">
        <v>512</v>
      </c>
      <c r="F55" s="18">
        <v>38834</v>
      </c>
      <c r="G55" s="18">
        <v>39482</v>
      </c>
      <c r="H55" s="12">
        <f t="shared" si="8"/>
        <v>648</v>
      </c>
      <c r="I55" s="11">
        <v>38834</v>
      </c>
      <c r="J55" s="11">
        <v>39482</v>
      </c>
      <c r="K55" s="12">
        <f t="shared" si="9"/>
        <v>648</v>
      </c>
      <c r="L55" s="13">
        <f t="shared" si="10"/>
        <v>1</v>
      </c>
      <c r="M55" s="14">
        <v>1</v>
      </c>
      <c r="N55" s="15">
        <v>1</v>
      </c>
      <c r="O55" s="16">
        <f t="shared" si="11"/>
        <v>1</v>
      </c>
      <c r="P55" s="985"/>
    </row>
    <row r="56" spans="1:16" s="298" customFormat="1" ht="24.95" customHeight="1" thickBot="1">
      <c r="A56" s="1006" t="s">
        <v>520</v>
      </c>
      <c r="B56" s="1007"/>
      <c r="C56" s="1007"/>
      <c r="D56" s="1007"/>
      <c r="E56" s="1007"/>
      <c r="F56" s="1007"/>
      <c r="G56" s="1007"/>
      <c r="H56" s="1007"/>
      <c r="I56" s="1007"/>
      <c r="J56" s="1007"/>
      <c r="K56" s="1007"/>
      <c r="L56" s="1007"/>
      <c r="M56" s="1007"/>
      <c r="N56" s="1008"/>
      <c r="O56" s="19">
        <f>SUM(O42:O55)</f>
        <v>8.75</v>
      </c>
      <c r="P56" s="347"/>
    </row>
    <row r="57" spans="1:16" s="298" customFormat="1" ht="35.1" customHeight="1">
      <c r="A57" s="345"/>
      <c r="B57" s="345"/>
      <c r="C57" s="345"/>
      <c r="D57" s="345"/>
      <c r="E57" s="345"/>
      <c r="F57" s="345"/>
      <c r="G57" s="345"/>
      <c r="H57" s="345"/>
      <c r="I57" s="345"/>
      <c r="J57" s="345"/>
      <c r="K57" s="345"/>
      <c r="L57" s="345"/>
      <c r="M57" s="345"/>
      <c r="N57" s="345"/>
      <c r="O57" s="348"/>
    </row>
    <row r="58" spans="1:16" s="343" customFormat="1" ht="30" customHeight="1" thickBot="1">
      <c r="A58" s="995" t="str">
        <f>배점기준!C6</f>
        <v>폐기물처리</v>
      </c>
      <c r="B58" s="996"/>
      <c r="C58" s="327" t="s">
        <v>521</v>
      </c>
      <c r="D58" s="1019" t="s">
        <v>522</v>
      </c>
      <c r="E58" s="1020"/>
      <c r="F58" s="338"/>
      <c r="G58" s="339"/>
      <c r="H58" s="339"/>
      <c r="I58" s="340"/>
      <c r="J58" s="340"/>
      <c r="K58" s="340"/>
      <c r="L58" s="340"/>
      <c r="M58" s="340"/>
      <c r="N58" s="340"/>
      <c r="O58" s="341"/>
      <c r="P58" s="342"/>
    </row>
    <row r="59" spans="1:16" s="286" customFormat="1" ht="24.95" customHeight="1">
      <c r="A59" s="1013" t="s">
        <v>523</v>
      </c>
      <c r="B59" s="1015" t="s">
        <v>524</v>
      </c>
      <c r="C59" s="1017" t="s">
        <v>525</v>
      </c>
      <c r="D59" s="1017" t="s">
        <v>526</v>
      </c>
      <c r="E59" s="980" t="s">
        <v>527</v>
      </c>
      <c r="F59" s="991" t="s">
        <v>528</v>
      </c>
      <c r="G59" s="992"/>
      <c r="H59" s="992"/>
      <c r="I59" s="1000" t="s">
        <v>529</v>
      </c>
      <c r="J59" s="1005"/>
      <c r="K59" s="1001"/>
      <c r="L59" s="1009" t="s">
        <v>530</v>
      </c>
      <c r="M59" s="1011" t="s">
        <v>531</v>
      </c>
      <c r="N59" s="1012"/>
      <c r="O59" s="1009" t="s">
        <v>532</v>
      </c>
      <c r="P59" s="982" t="s">
        <v>533</v>
      </c>
    </row>
    <row r="60" spans="1:16" s="286" customFormat="1" ht="24.95" customHeight="1">
      <c r="A60" s="1014"/>
      <c r="B60" s="1016"/>
      <c r="C60" s="1018"/>
      <c r="D60" s="1018"/>
      <c r="E60" s="981"/>
      <c r="F60" s="287" t="s">
        <v>534</v>
      </c>
      <c r="G60" s="287" t="s">
        <v>535</v>
      </c>
      <c r="H60" s="287" t="s">
        <v>536</v>
      </c>
      <c r="I60" s="287" t="s">
        <v>537</v>
      </c>
      <c r="J60" s="287" t="s">
        <v>538</v>
      </c>
      <c r="K60" s="287" t="s">
        <v>539</v>
      </c>
      <c r="L60" s="1010"/>
      <c r="M60" s="6" t="s">
        <v>540</v>
      </c>
      <c r="N60" s="7" t="s">
        <v>541</v>
      </c>
      <c r="O60" s="1010"/>
      <c r="P60" s="983"/>
    </row>
    <row r="61" spans="1:16" s="296" customFormat="1" ht="24.95" customHeight="1">
      <c r="A61" s="8">
        <v>1</v>
      </c>
      <c r="B61" s="9" t="s">
        <v>172</v>
      </c>
      <c r="C61" s="9" t="s">
        <v>511</v>
      </c>
      <c r="D61" s="147"/>
      <c r="E61" s="10" t="s">
        <v>512</v>
      </c>
      <c r="F61" s="11">
        <v>34645</v>
      </c>
      <c r="G61" s="11">
        <v>36522</v>
      </c>
      <c r="H61" s="12">
        <f>IF(G61-F61&gt;=90,G61-F61,0)</f>
        <v>1877</v>
      </c>
      <c r="I61" s="11">
        <v>34645</v>
      </c>
      <c r="J61" s="11">
        <v>36522</v>
      </c>
      <c r="K61" s="12">
        <f>IF(J61-I61&gt;=30,J61-I61,0)</f>
        <v>1877</v>
      </c>
      <c r="L61" s="13">
        <f>K61/H61</f>
        <v>1</v>
      </c>
      <c r="M61" s="14">
        <v>1</v>
      </c>
      <c r="N61" s="15">
        <v>0.6</v>
      </c>
      <c r="O61" s="16">
        <f>ROUND(L61*M61*N61,2)</f>
        <v>0.6</v>
      </c>
      <c r="P61" s="984"/>
    </row>
    <row r="62" spans="1:16" s="298" customFormat="1" ht="24.95" customHeight="1">
      <c r="A62" s="17">
        <v>2</v>
      </c>
      <c r="B62" s="9" t="s">
        <v>173</v>
      </c>
      <c r="C62" s="9" t="s">
        <v>511</v>
      </c>
      <c r="D62" s="147"/>
      <c r="E62" s="10" t="s">
        <v>512</v>
      </c>
      <c r="F62" s="11">
        <v>34692</v>
      </c>
      <c r="G62" s="11">
        <v>37063</v>
      </c>
      <c r="H62" s="12">
        <f t="shared" ref="H62:H74" si="12">IF(G62-F62&gt;=90,G62-F62,0)</f>
        <v>2371</v>
      </c>
      <c r="I62" s="11">
        <v>34692</v>
      </c>
      <c r="J62" s="11">
        <v>36525</v>
      </c>
      <c r="K62" s="12">
        <f t="shared" ref="K62:K74" si="13">IF(J62-I62&gt;=30,J62-I62,0)</f>
        <v>1833</v>
      </c>
      <c r="L62" s="13">
        <f t="shared" ref="L62:L74" si="14">K62/H62</f>
        <v>0.7730915225643189</v>
      </c>
      <c r="M62" s="14">
        <v>0.6</v>
      </c>
      <c r="N62" s="15">
        <v>0.6</v>
      </c>
      <c r="O62" s="16">
        <f t="shared" ref="O62:O74" si="15">ROUND(L62*M62*N62,2)</f>
        <v>0.28000000000000003</v>
      </c>
      <c r="P62" s="985"/>
    </row>
    <row r="63" spans="1:16" s="298" customFormat="1" ht="24.95" customHeight="1">
      <c r="A63" s="17">
        <v>3</v>
      </c>
      <c r="B63" s="9" t="s">
        <v>174</v>
      </c>
      <c r="C63" s="9" t="s">
        <v>511</v>
      </c>
      <c r="D63" s="147"/>
      <c r="E63" s="10" t="s">
        <v>512</v>
      </c>
      <c r="F63" s="11">
        <v>34967</v>
      </c>
      <c r="G63" s="11">
        <v>36871</v>
      </c>
      <c r="H63" s="12">
        <f t="shared" si="12"/>
        <v>1904</v>
      </c>
      <c r="I63" s="11">
        <v>34967</v>
      </c>
      <c r="J63" s="11">
        <v>36871</v>
      </c>
      <c r="K63" s="12">
        <f t="shared" si="13"/>
        <v>1904</v>
      </c>
      <c r="L63" s="13">
        <f t="shared" si="14"/>
        <v>1</v>
      </c>
      <c r="M63" s="14">
        <v>1</v>
      </c>
      <c r="N63" s="15">
        <v>1</v>
      </c>
      <c r="O63" s="16">
        <f t="shared" si="15"/>
        <v>1</v>
      </c>
      <c r="P63" s="985"/>
    </row>
    <row r="64" spans="1:16" s="298" customFormat="1" ht="24.95" customHeight="1">
      <c r="A64" s="17">
        <v>4</v>
      </c>
      <c r="B64" s="9" t="s">
        <v>175</v>
      </c>
      <c r="C64" s="9" t="s">
        <v>511</v>
      </c>
      <c r="D64" s="147"/>
      <c r="E64" s="10" t="s">
        <v>512</v>
      </c>
      <c r="F64" s="11">
        <v>36194</v>
      </c>
      <c r="G64" s="11">
        <v>37008</v>
      </c>
      <c r="H64" s="12">
        <f t="shared" si="12"/>
        <v>814</v>
      </c>
      <c r="I64" s="11">
        <v>36194</v>
      </c>
      <c r="J64" s="11">
        <v>37008</v>
      </c>
      <c r="K64" s="12">
        <f t="shared" si="13"/>
        <v>814</v>
      </c>
      <c r="L64" s="13">
        <f t="shared" si="14"/>
        <v>1</v>
      </c>
      <c r="M64" s="14">
        <v>0.6</v>
      </c>
      <c r="N64" s="15">
        <v>1</v>
      </c>
      <c r="O64" s="16">
        <f t="shared" si="15"/>
        <v>0.6</v>
      </c>
      <c r="P64" s="985"/>
    </row>
    <row r="65" spans="1:17" s="298" customFormat="1" ht="24.95" customHeight="1">
      <c r="A65" s="17">
        <v>5</v>
      </c>
      <c r="B65" s="9" t="s">
        <v>513</v>
      </c>
      <c r="C65" s="9" t="s">
        <v>511</v>
      </c>
      <c r="D65" s="147"/>
      <c r="E65" s="10" t="s">
        <v>512</v>
      </c>
      <c r="F65" s="11">
        <v>37369</v>
      </c>
      <c r="G65" s="11">
        <v>37954</v>
      </c>
      <c r="H65" s="12">
        <f t="shared" si="12"/>
        <v>585</v>
      </c>
      <c r="I65" s="11">
        <v>37369</v>
      </c>
      <c r="J65" s="11">
        <v>37954</v>
      </c>
      <c r="K65" s="12">
        <f t="shared" si="13"/>
        <v>585</v>
      </c>
      <c r="L65" s="13">
        <f t="shared" si="14"/>
        <v>1</v>
      </c>
      <c r="M65" s="14">
        <v>1</v>
      </c>
      <c r="N65" s="15">
        <v>0.6</v>
      </c>
      <c r="O65" s="16">
        <f t="shared" si="15"/>
        <v>0.6</v>
      </c>
      <c r="P65" s="985"/>
    </row>
    <row r="66" spans="1:17" s="296" customFormat="1" ht="24.95" customHeight="1">
      <c r="A66" s="17">
        <v>7</v>
      </c>
      <c r="B66" s="9" t="s">
        <v>176</v>
      </c>
      <c r="C66" s="9" t="s">
        <v>511</v>
      </c>
      <c r="D66" s="147"/>
      <c r="E66" s="10" t="s">
        <v>512</v>
      </c>
      <c r="F66" s="11">
        <v>37673</v>
      </c>
      <c r="G66" s="11">
        <v>38929</v>
      </c>
      <c r="H66" s="12">
        <f t="shared" si="12"/>
        <v>1256</v>
      </c>
      <c r="I66" s="11">
        <v>37673</v>
      </c>
      <c r="J66" s="11">
        <v>38929</v>
      </c>
      <c r="K66" s="12">
        <f t="shared" si="13"/>
        <v>1256</v>
      </c>
      <c r="L66" s="13">
        <f t="shared" si="14"/>
        <v>1</v>
      </c>
      <c r="M66" s="14">
        <v>0.6</v>
      </c>
      <c r="N66" s="15">
        <v>0.6</v>
      </c>
      <c r="O66" s="16">
        <f t="shared" si="15"/>
        <v>0.36</v>
      </c>
      <c r="P66" s="985"/>
    </row>
    <row r="67" spans="1:17" s="296" customFormat="1" ht="24.95" customHeight="1">
      <c r="A67" s="17">
        <v>8</v>
      </c>
      <c r="B67" s="9" t="s">
        <v>177</v>
      </c>
      <c r="C67" s="9" t="s">
        <v>511</v>
      </c>
      <c r="D67" s="147"/>
      <c r="E67" s="10" t="s">
        <v>512</v>
      </c>
      <c r="F67" s="11">
        <v>38240</v>
      </c>
      <c r="G67" s="11">
        <v>39562</v>
      </c>
      <c r="H67" s="12">
        <f t="shared" si="12"/>
        <v>1322</v>
      </c>
      <c r="I67" s="11">
        <v>38240</v>
      </c>
      <c r="J67" s="11">
        <v>39562</v>
      </c>
      <c r="K67" s="12">
        <f t="shared" si="13"/>
        <v>1322</v>
      </c>
      <c r="L67" s="13">
        <f t="shared" si="14"/>
        <v>1</v>
      </c>
      <c r="M67" s="14">
        <v>1</v>
      </c>
      <c r="N67" s="15">
        <v>1</v>
      </c>
      <c r="O67" s="16">
        <f t="shared" si="15"/>
        <v>1</v>
      </c>
      <c r="P67" s="985"/>
    </row>
    <row r="68" spans="1:17" s="296" customFormat="1" ht="24.95" customHeight="1">
      <c r="A68" s="17">
        <v>9</v>
      </c>
      <c r="B68" s="9" t="s">
        <v>514</v>
      </c>
      <c r="C68" s="9" t="s">
        <v>511</v>
      </c>
      <c r="D68" s="147"/>
      <c r="E68" s="10" t="s">
        <v>512</v>
      </c>
      <c r="F68" s="11">
        <v>38078</v>
      </c>
      <c r="G68" s="11">
        <v>38660</v>
      </c>
      <c r="H68" s="12">
        <f t="shared" si="12"/>
        <v>582</v>
      </c>
      <c r="I68" s="11">
        <v>38078</v>
      </c>
      <c r="J68" s="11">
        <v>38660</v>
      </c>
      <c r="K68" s="12">
        <f t="shared" si="13"/>
        <v>582</v>
      </c>
      <c r="L68" s="13">
        <f t="shared" si="14"/>
        <v>1</v>
      </c>
      <c r="M68" s="14">
        <v>0.6</v>
      </c>
      <c r="N68" s="15">
        <v>1</v>
      </c>
      <c r="O68" s="16">
        <f t="shared" si="15"/>
        <v>0.6</v>
      </c>
      <c r="P68" s="985"/>
    </row>
    <row r="69" spans="1:17" s="296" customFormat="1" ht="24.95" customHeight="1">
      <c r="A69" s="17">
        <v>10</v>
      </c>
      <c r="B69" s="9" t="s">
        <v>515</v>
      </c>
      <c r="C69" s="9" t="s">
        <v>511</v>
      </c>
      <c r="D69" s="147"/>
      <c r="E69" s="10" t="s">
        <v>512</v>
      </c>
      <c r="F69" s="18">
        <v>38127</v>
      </c>
      <c r="G69" s="18">
        <v>38717</v>
      </c>
      <c r="H69" s="12">
        <f t="shared" si="12"/>
        <v>590</v>
      </c>
      <c r="I69" s="11">
        <v>38127</v>
      </c>
      <c r="J69" s="11">
        <v>38717</v>
      </c>
      <c r="K69" s="12">
        <f t="shared" si="13"/>
        <v>590</v>
      </c>
      <c r="L69" s="13">
        <f t="shared" si="14"/>
        <v>1</v>
      </c>
      <c r="M69" s="14">
        <v>1</v>
      </c>
      <c r="N69" s="15">
        <v>0.6</v>
      </c>
      <c r="O69" s="16">
        <f t="shared" si="15"/>
        <v>0.6</v>
      </c>
      <c r="P69" s="985"/>
    </row>
    <row r="70" spans="1:17" s="296" customFormat="1" ht="24.95" customHeight="1">
      <c r="A70" s="17">
        <v>11</v>
      </c>
      <c r="B70" s="9" t="s">
        <v>516</v>
      </c>
      <c r="C70" s="9" t="s">
        <v>511</v>
      </c>
      <c r="D70" s="147"/>
      <c r="E70" s="10" t="s">
        <v>512</v>
      </c>
      <c r="F70" s="18">
        <v>38098</v>
      </c>
      <c r="G70" s="11">
        <v>38717</v>
      </c>
      <c r="H70" s="12">
        <f t="shared" si="12"/>
        <v>619</v>
      </c>
      <c r="I70" s="11">
        <v>38098</v>
      </c>
      <c r="J70" s="11">
        <v>38656</v>
      </c>
      <c r="K70" s="12">
        <f t="shared" si="13"/>
        <v>558</v>
      </c>
      <c r="L70" s="13">
        <f t="shared" si="14"/>
        <v>0.90145395799676897</v>
      </c>
      <c r="M70" s="14">
        <v>0.6</v>
      </c>
      <c r="N70" s="15">
        <v>0.6</v>
      </c>
      <c r="O70" s="16">
        <f t="shared" si="15"/>
        <v>0.32</v>
      </c>
      <c r="P70" s="985"/>
    </row>
    <row r="71" spans="1:17" s="296" customFormat="1" ht="24.95" customHeight="1">
      <c r="A71" s="17">
        <v>12</v>
      </c>
      <c r="B71" s="9" t="s">
        <v>517</v>
      </c>
      <c r="C71" s="9" t="s">
        <v>511</v>
      </c>
      <c r="D71" s="147"/>
      <c r="E71" s="10" t="s">
        <v>512</v>
      </c>
      <c r="F71" s="18">
        <v>37376</v>
      </c>
      <c r="G71" s="18">
        <v>38730</v>
      </c>
      <c r="H71" s="12">
        <f t="shared" si="12"/>
        <v>1354</v>
      </c>
      <c r="I71" s="11">
        <v>38472</v>
      </c>
      <c r="J71" s="11">
        <v>38730</v>
      </c>
      <c r="K71" s="12">
        <f t="shared" si="13"/>
        <v>258</v>
      </c>
      <c r="L71" s="13">
        <f t="shared" si="14"/>
        <v>0.19054652880354506</v>
      </c>
      <c r="M71" s="14">
        <v>1</v>
      </c>
      <c r="N71" s="15">
        <v>1</v>
      </c>
      <c r="O71" s="16">
        <f t="shared" si="15"/>
        <v>0.19</v>
      </c>
      <c r="P71" s="985"/>
    </row>
    <row r="72" spans="1:17" s="296" customFormat="1" ht="24.95" customHeight="1">
      <c r="A72" s="17">
        <v>13</v>
      </c>
      <c r="B72" s="9" t="s">
        <v>518</v>
      </c>
      <c r="C72" s="9" t="s">
        <v>511</v>
      </c>
      <c r="D72" s="147"/>
      <c r="E72" s="10" t="s">
        <v>512</v>
      </c>
      <c r="F72" s="18">
        <v>38750</v>
      </c>
      <c r="G72" s="11">
        <v>39082</v>
      </c>
      <c r="H72" s="12">
        <f t="shared" si="12"/>
        <v>332</v>
      </c>
      <c r="I72" s="11">
        <v>38750</v>
      </c>
      <c r="J72" s="11">
        <v>39082</v>
      </c>
      <c r="K72" s="12">
        <f t="shared" si="13"/>
        <v>332</v>
      </c>
      <c r="L72" s="13">
        <f t="shared" si="14"/>
        <v>1</v>
      </c>
      <c r="M72" s="14">
        <v>0.6</v>
      </c>
      <c r="N72" s="15">
        <v>1</v>
      </c>
      <c r="O72" s="16">
        <f t="shared" si="15"/>
        <v>0.6</v>
      </c>
      <c r="P72" s="985"/>
    </row>
    <row r="73" spans="1:17" s="296" customFormat="1" ht="24.95" customHeight="1">
      <c r="A73" s="17">
        <v>15</v>
      </c>
      <c r="B73" s="9" t="s">
        <v>178</v>
      </c>
      <c r="C73" s="9" t="s">
        <v>511</v>
      </c>
      <c r="D73" s="147"/>
      <c r="E73" s="10" t="s">
        <v>512</v>
      </c>
      <c r="F73" s="18">
        <v>37435</v>
      </c>
      <c r="G73" s="11">
        <v>39414</v>
      </c>
      <c r="H73" s="12">
        <f t="shared" si="12"/>
        <v>1979</v>
      </c>
      <c r="I73" s="11">
        <v>37435</v>
      </c>
      <c r="J73" s="11">
        <v>39414</v>
      </c>
      <c r="K73" s="12">
        <f t="shared" si="13"/>
        <v>1979</v>
      </c>
      <c r="L73" s="13">
        <f t="shared" si="14"/>
        <v>1</v>
      </c>
      <c r="M73" s="14">
        <v>1</v>
      </c>
      <c r="N73" s="15">
        <v>1</v>
      </c>
      <c r="O73" s="16">
        <f t="shared" si="15"/>
        <v>1</v>
      </c>
      <c r="P73" s="985"/>
    </row>
    <row r="74" spans="1:17" s="296" customFormat="1" ht="24.95" customHeight="1">
      <c r="A74" s="17">
        <v>16</v>
      </c>
      <c r="B74" s="9" t="s">
        <v>519</v>
      </c>
      <c r="C74" s="9" t="s">
        <v>511</v>
      </c>
      <c r="D74" s="147"/>
      <c r="E74" s="10" t="s">
        <v>512</v>
      </c>
      <c r="F74" s="18">
        <v>38834</v>
      </c>
      <c r="G74" s="18">
        <v>39482</v>
      </c>
      <c r="H74" s="12">
        <f t="shared" si="12"/>
        <v>648</v>
      </c>
      <c r="I74" s="11">
        <v>38834</v>
      </c>
      <c r="J74" s="11">
        <v>39482</v>
      </c>
      <c r="K74" s="12">
        <f t="shared" si="13"/>
        <v>648</v>
      </c>
      <c r="L74" s="13">
        <f t="shared" si="14"/>
        <v>1</v>
      </c>
      <c r="M74" s="14">
        <v>1</v>
      </c>
      <c r="N74" s="15">
        <v>1</v>
      </c>
      <c r="O74" s="16">
        <f t="shared" si="15"/>
        <v>1</v>
      </c>
      <c r="P74" s="985"/>
    </row>
    <row r="75" spans="1:17" s="298" customFormat="1" ht="24.95" customHeight="1" thickBot="1">
      <c r="A75" s="1006" t="s">
        <v>520</v>
      </c>
      <c r="B75" s="1007"/>
      <c r="C75" s="1007"/>
      <c r="D75" s="1007"/>
      <c r="E75" s="1007"/>
      <c r="F75" s="1007"/>
      <c r="G75" s="1007"/>
      <c r="H75" s="1007"/>
      <c r="I75" s="1007"/>
      <c r="J75" s="1007"/>
      <c r="K75" s="1007"/>
      <c r="L75" s="1007"/>
      <c r="M75" s="1007"/>
      <c r="N75" s="1008"/>
      <c r="O75" s="19">
        <f>SUM(O61:O74)</f>
        <v>8.75</v>
      </c>
      <c r="P75" s="347"/>
    </row>
    <row r="76" spans="1:17" s="335" customFormat="1" ht="15" customHeight="1">
      <c r="A76" s="318"/>
      <c r="B76" s="324"/>
      <c r="C76" s="320"/>
      <c r="D76" s="320"/>
      <c r="E76" s="320"/>
      <c r="F76" s="320"/>
      <c r="G76" s="320"/>
      <c r="H76" s="319"/>
      <c r="M76" s="321"/>
      <c r="N76" s="321"/>
      <c r="O76" s="322"/>
      <c r="P76" s="323"/>
      <c r="Q76" s="323"/>
    </row>
    <row r="77" spans="1:17" s="343" customFormat="1" ht="30" customHeight="1" thickBot="1">
      <c r="A77" s="995">
        <f>배점기준!C7</f>
        <v>0</v>
      </c>
      <c r="B77" s="996"/>
      <c r="C77" s="327" t="s">
        <v>521</v>
      </c>
      <c r="D77" s="1019" t="s">
        <v>522</v>
      </c>
      <c r="E77" s="1020"/>
      <c r="F77" s="349"/>
      <c r="G77" s="339"/>
      <c r="H77" s="339"/>
      <c r="I77" s="340"/>
      <c r="J77" s="340"/>
      <c r="K77" s="340"/>
      <c r="L77" s="340"/>
      <c r="M77" s="340"/>
      <c r="N77" s="340"/>
      <c r="O77" s="341"/>
      <c r="P77" s="342"/>
    </row>
    <row r="78" spans="1:17" s="286" customFormat="1" ht="24.95" customHeight="1">
      <c r="A78" s="1013" t="s">
        <v>523</v>
      </c>
      <c r="B78" s="1015" t="s">
        <v>524</v>
      </c>
      <c r="C78" s="1017" t="s">
        <v>525</v>
      </c>
      <c r="D78" s="1017" t="s">
        <v>526</v>
      </c>
      <c r="E78" s="980" t="s">
        <v>527</v>
      </c>
      <c r="F78" s="991" t="s">
        <v>528</v>
      </c>
      <c r="G78" s="992"/>
      <c r="H78" s="992"/>
      <c r="I78" s="1000" t="s">
        <v>529</v>
      </c>
      <c r="J78" s="1005"/>
      <c r="K78" s="1001"/>
      <c r="L78" s="1009" t="s">
        <v>530</v>
      </c>
      <c r="M78" s="1011" t="s">
        <v>531</v>
      </c>
      <c r="N78" s="1012"/>
      <c r="O78" s="1009" t="s">
        <v>532</v>
      </c>
      <c r="P78" s="982" t="s">
        <v>533</v>
      </c>
    </row>
    <row r="79" spans="1:17" s="286" customFormat="1" ht="24.95" customHeight="1">
      <c r="A79" s="1014"/>
      <c r="B79" s="1016"/>
      <c r="C79" s="1018"/>
      <c r="D79" s="1018"/>
      <c r="E79" s="981"/>
      <c r="F79" s="287" t="s">
        <v>534</v>
      </c>
      <c r="G79" s="287" t="s">
        <v>535</v>
      </c>
      <c r="H79" s="287" t="s">
        <v>536</v>
      </c>
      <c r="I79" s="287" t="s">
        <v>537</v>
      </c>
      <c r="J79" s="287" t="s">
        <v>538</v>
      </c>
      <c r="K79" s="287" t="s">
        <v>539</v>
      </c>
      <c r="L79" s="1010"/>
      <c r="M79" s="6" t="s">
        <v>540</v>
      </c>
      <c r="N79" s="7" t="s">
        <v>541</v>
      </c>
      <c r="O79" s="1010"/>
      <c r="P79" s="983"/>
    </row>
    <row r="80" spans="1:17" s="296" customFormat="1" ht="24.95" customHeight="1">
      <c r="A80" s="8">
        <v>1</v>
      </c>
      <c r="B80" s="9" t="s">
        <v>172</v>
      </c>
      <c r="C80" s="9" t="s">
        <v>511</v>
      </c>
      <c r="D80" s="147"/>
      <c r="E80" s="10" t="s">
        <v>512</v>
      </c>
      <c r="F80" s="11">
        <v>34645</v>
      </c>
      <c r="G80" s="11">
        <v>36522</v>
      </c>
      <c r="H80" s="12">
        <f>IF(G80-F80&gt;=90,G80-F80,0)</f>
        <v>1877</v>
      </c>
      <c r="I80" s="11">
        <v>34645</v>
      </c>
      <c r="J80" s="11">
        <v>36522</v>
      </c>
      <c r="K80" s="12">
        <f>IF(J80-I80&gt;=30,J80-I80,0)</f>
        <v>1877</v>
      </c>
      <c r="L80" s="13">
        <f>K80/H80</f>
        <v>1</v>
      </c>
      <c r="M80" s="14">
        <v>1</v>
      </c>
      <c r="N80" s="15">
        <v>0.6</v>
      </c>
      <c r="O80" s="16">
        <f>ROUND(L80*M80*N80,2)</f>
        <v>0.6</v>
      </c>
      <c r="P80" s="984"/>
    </row>
    <row r="81" spans="1:17" s="298" customFormat="1" ht="24.95" customHeight="1">
      <c r="A81" s="17">
        <v>2</v>
      </c>
      <c r="B81" s="9" t="s">
        <v>173</v>
      </c>
      <c r="C81" s="9" t="s">
        <v>511</v>
      </c>
      <c r="D81" s="147"/>
      <c r="E81" s="10" t="s">
        <v>512</v>
      </c>
      <c r="F81" s="11">
        <v>34692</v>
      </c>
      <c r="G81" s="11">
        <v>37063</v>
      </c>
      <c r="H81" s="12">
        <f t="shared" ref="H81:H93" si="16">IF(G81-F81&gt;=90,G81-F81,0)</f>
        <v>2371</v>
      </c>
      <c r="I81" s="11">
        <v>34692</v>
      </c>
      <c r="J81" s="11">
        <v>36525</v>
      </c>
      <c r="K81" s="12">
        <f t="shared" ref="K81:K93" si="17">IF(J81-I81&gt;=30,J81-I81,0)</f>
        <v>1833</v>
      </c>
      <c r="L81" s="13">
        <f t="shared" ref="L81:L93" si="18">K81/H81</f>
        <v>0.7730915225643189</v>
      </c>
      <c r="M81" s="14">
        <v>0.6</v>
      </c>
      <c r="N81" s="15">
        <v>0.6</v>
      </c>
      <c r="O81" s="16">
        <f t="shared" ref="O81:O93" si="19">ROUND(L81*M81*N81,2)</f>
        <v>0.28000000000000003</v>
      </c>
      <c r="P81" s="985"/>
    </row>
    <row r="82" spans="1:17" s="298" customFormat="1" ht="24.95" customHeight="1">
      <c r="A82" s="17">
        <v>3</v>
      </c>
      <c r="B82" s="9" t="s">
        <v>174</v>
      </c>
      <c r="C82" s="9" t="s">
        <v>511</v>
      </c>
      <c r="D82" s="147"/>
      <c r="E82" s="10" t="s">
        <v>512</v>
      </c>
      <c r="F82" s="11">
        <v>34967</v>
      </c>
      <c r="G82" s="11">
        <v>36871</v>
      </c>
      <c r="H82" s="12">
        <f t="shared" si="16"/>
        <v>1904</v>
      </c>
      <c r="I82" s="11">
        <v>34967</v>
      </c>
      <c r="J82" s="11">
        <v>36871</v>
      </c>
      <c r="K82" s="12">
        <f t="shared" si="17"/>
        <v>1904</v>
      </c>
      <c r="L82" s="13">
        <f t="shared" si="18"/>
        <v>1</v>
      </c>
      <c r="M82" s="14">
        <v>1</v>
      </c>
      <c r="N82" s="15">
        <v>1</v>
      </c>
      <c r="O82" s="16">
        <f t="shared" si="19"/>
        <v>1</v>
      </c>
      <c r="P82" s="985"/>
    </row>
    <row r="83" spans="1:17" s="298" customFormat="1" ht="24.95" customHeight="1">
      <c r="A83" s="17">
        <v>4</v>
      </c>
      <c r="B83" s="9" t="s">
        <v>175</v>
      </c>
      <c r="C83" s="9" t="s">
        <v>511</v>
      </c>
      <c r="D83" s="147"/>
      <c r="E83" s="10" t="s">
        <v>512</v>
      </c>
      <c r="F83" s="11">
        <v>36194</v>
      </c>
      <c r="G83" s="11">
        <v>37008</v>
      </c>
      <c r="H83" s="12">
        <f t="shared" si="16"/>
        <v>814</v>
      </c>
      <c r="I83" s="11">
        <v>36194</v>
      </c>
      <c r="J83" s="11">
        <v>37008</v>
      </c>
      <c r="K83" s="12">
        <f t="shared" si="17"/>
        <v>814</v>
      </c>
      <c r="L83" s="13">
        <f t="shared" si="18"/>
        <v>1</v>
      </c>
      <c r="M83" s="14">
        <v>0.6</v>
      </c>
      <c r="N83" s="15">
        <v>1</v>
      </c>
      <c r="O83" s="16">
        <f t="shared" si="19"/>
        <v>0.6</v>
      </c>
      <c r="P83" s="985"/>
    </row>
    <row r="84" spans="1:17" s="298" customFormat="1" ht="24.95" customHeight="1">
      <c r="A84" s="17">
        <v>5</v>
      </c>
      <c r="B84" s="9" t="s">
        <v>513</v>
      </c>
      <c r="C84" s="9" t="s">
        <v>511</v>
      </c>
      <c r="D84" s="147"/>
      <c r="E84" s="10" t="s">
        <v>512</v>
      </c>
      <c r="F84" s="11">
        <v>37369</v>
      </c>
      <c r="G84" s="11">
        <v>37954</v>
      </c>
      <c r="H84" s="12">
        <f t="shared" si="16"/>
        <v>585</v>
      </c>
      <c r="I84" s="11">
        <v>37369</v>
      </c>
      <c r="J84" s="11">
        <v>37954</v>
      </c>
      <c r="K84" s="12">
        <f t="shared" si="17"/>
        <v>585</v>
      </c>
      <c r="L84" s="13">
        <f t="shared" si="18"/>
        <v>1</v>
      </c>
      <c r="M84" s="14">
        <v>1</v>
      </c>
      <c r="N84" s="15">
        <v>0.6</v>
      </c>
      <c r="O84" s="16">
        <f t="shared" si="19"/>
        <v>0.6</v>
      </c>
      <c r="P84" s="985"/>
    </row>
    <row r="85" spans="1:17" s="296" customFormat="1" ht="24.95" customHeight="1">
      <c r="A85" s="17">
        <v>7</v>
      </c>
      <c r="B85" s="9" t="s">
        <v>176</v>
      </c>
      <c r="C85" s="9" t="s">
        <v>511</v>
      </c>
      <c r="D85" s="147"/>
      <c r="E85" s="10" t="s">
        <v>512</v>
      </c>
      <c r="F85" s="11">
        <v>37673</v>
      </c>
      <c r="G85" s="11">
        <v>38929</v>
      </c>
      <c r="H85" s="12">
        <f t="shared" si="16"/>
        <v>1256</v>
      </c>
      <c r="I85" s="11">
        <v>37673</v>
      </c>
      <c r="J85" s="11">
        <v>38929</v>
      </c>
      <c r="K85" s="12">
        <f t="shared" si="17"/>
        <v>1256</v>
      </c>
      <c r="L85" s="13">
        <f t="shared" si="18"/>
        <v>1</v>
      </c>
      <c r="M85" s="14">
        <v>0.6</v>
      </c>
      <c r="N85" s="15">
        <v>0.6</v>
      </c>
      <c r="O85" s="16">
        <f t="shared" si="19"/>
        <v>0.36</v>
      </c>
      <c r="P85" s="985"/>
    </row>
    <row r="86" spans="1:17" s="296" customFormat="1" ht="24.95" customHeight="1">
      <c r="A86" s="17">
        <v>8</v>
      </c>
      <c r="B86" s="9" t="s">
        <v>177</v>
      </c>
      <c r="C86" s="9" t="s">
        <v>511</v>
      </c>
      <c r="D86" s="147"/>
      <c r="E86" s="10" t="s">
        <v>512</v>
      </c>
      <c r="F86" s="11">
        <v>38240</v>
      </c>
      <c r="G86" s="11">
        <v>39562</v>
      </c>
      <c r="H86" s="12">
        <f t="shared" si="16"/>
        <v>1322</v>
      </c>
      <c r="I86" s="11">
        <v>38240</v>
      </c>
      <c r="J86" s="11">
        <v>39562</v>
      </c>
      <c r="K86" s="12">
        <f t="shared" si="17"/>
        <v>1322</v>
      </c>
      <c r="L86" s="13">
        <f t="shared" si="18"/>
        <v>1</v>
      </c>
      <c r="M86" s="14">
        <v>1</v>
      </c>
      <c r="N86" s="15">
        <v>1</v>
      </c>
      <c r="O86" s="16">
        <f t="shared" si="19"/>
        <v>1</v>
      </c>
      <c r="P86" s="985"/>
    </row>
    <row r="87" spans="1:17" s="296" customFormat="1" ht="24.95" customHeight="1">
      <c r="A87" s="17">
        <v>9</v>
      </c>
      <c r="B87" s="9" t="s">
        <v>514</v>
      </c>
      <c r="C87" s="9" t="s">
        <v>511</v>
      </c>
      <c r="D87" s="147"/>
      <c r="E87" s="10" t="s">
        <v>512</v>
      </c>
      <c r="F87" s="11">
        <v>38078</v>
      </c>
      <c r="G87" s="11">
        <v>38660</v>
      </c>
      <c r="H87" s="12">
        <f t="shared" si="16"/>
        <v>582</v>
      </c>
      <c r="I87" s="11">
        <v>38078</v>
      </c>
      <c r="J87" s="11">
        <v>38660</v>
      </c>
      <c r="K87" s="12">
        <f t="shared" si="17"/>
        <v>582</v>
      </c>
      <c r="L87" s="13">
        <f t="shared" si="18"/>
        <v>1</v>
      </c>
      <c r="M87" s="14">
        <v>0.6</v>
      </c>
      <c r="N87" s="15">
        <v>1</v>
      </c>
      <c r="O87" s="16">
        <f t="shared" si="19"/>
        <v>0.6</v>
      </c>
      <c r="P87" s="985"/>
    </row>
    <row r="88" spans="1:17" s="296" customFormat="1" ht="24.95" customHeight="1">
      <c r="A88" s="17">
        <v>10</v>
      </c>
      <c r="B88" s="9" t="s">
        <v>515</v>
      </c>
      <c r="C88" s="9" t="s">
        <v>511</v>
      </c>
      <c r="D88" s="147"/>
      <c r="E88" s="10" t="s">
        <v>512</v>
      </c>
      <c r="F88" s="18">
        <v>38127</v>
      </c>
      <c r="G88" s="18">
        <v>38717</v>
      </c>
      <c r="H88" s="12">
        <f t="shared" si="16"/>
        <v>590</v>
      </c>
      <c r="I88" s="11">
        <v>38127</v>
      </c>
      <c r="J88" s="11">
        <v>38717</v>
      </c>
      <c r="K88" s="12">
        <f t="shared" si="17"/>
        <v>590</v>
      </c>
      <c r="L88" s="13">
        <f t="shared" si="18"/>
        <v>1</v>
      </c>
      <c r="M88" s="14">
        <v>1</v>
      </c>
      <c r="N88" s="15">
        <v>0.6</v>
      </c>
      <c r="O88" s="16">
        <f t="shared" si="19"/>
        <v>0.6</v>
      </c>
      <c r="P88" s="985"/>
    </row>
    <row r="89" spans="1:17" s="296" customFormat="1" ht="24.95" customHeight="1">
      <c r="A89" s="17">
        <v>11</v>
      </c>
      <c r="B89" s="9" t="s">
        <v>516</v>
      </c>
      <c r="C89" s="9" t="s">
        <v>511</v>
      </c>
      <c r="D89" s="147"/>
      <c r="E89" s="10" t="s">
        <v>512</v>
      </c>
      <c r="F89" s="18">
        <v>38098</v>
      </c>
      <c r="G89" s="11">
        <v>38717</v>
      </c>
      <c r="H89" s="12">
        <f t="shared" si="16"/>
        <v>619</v>
      </c>
      <c r="I89" s="11">
        <v>38098</v>
      </c>
      <c r="J89" s="11">
        <v>38656</v>
      </c>
      <c r="K89" s="12">
        <f t="shared" si="17"/>
        <v>558</v>
      </c>
      <c r="L89" s="13">
        <f t="shared" si="18"/>
        <v>0.90145395799676897</v>
      </c>
      <c r="M89" s="14">
        <v>0.6</v>
      </c>
      <c r="N89" s="15">
        <v>0.6</v>
      </c>
      <c r="O89" s="16">
        <f t="shared" si="19"/>
        <v>0.32</v>
      </c>
      <c r="P89" s="985"/>
    </row>
    <row r="90" spans="1:17" s="296" customFormat="1" ht="24.95" customHeight="1">
      <c r="A90" s="17">
        <v>12</v>
      </c>
      <c r="B90" s="9" t="s">
        <v>517</v>
      </c>
      <c r="C90" s="9" t="s">
        <v>511</v>
      </c>
      <c r="D90" s="147"/>
      <c r="E90" s="10" t="s">
        <v>512</v>
      </c>
      <c r="F90" s="18">
        <v>37376</v>
      </c>
      <c r="G90" s="18">
        <v>38730</v>
      </c>
      <c r="H90" s="12">
        <f t="shared" si="16"/>
        <v>1354</v>
      </c>
      <c r="I90" s="11">
        <v>38472</v>
      </c>
      <c r="J90" s="11">
        <v>38730</v>
      </c>
      <c r="K90" s="12">
        <f t="shared" si="17"/>
        <v>258</v>
      </c>
      <c r="L90" s="13">
        <f t="shared" si="18"/>
        <v>0.19054652880354506</v>
      </c>
      <c r="M90" s="14">
        <v>1</v>
      </c>
      <c r="N90" s="15">
        <v>1</v>
      </c>
      <c r="O90" s="16">
        <f t="shared" si="19"/>
        <v>0.19</v>
      </c>
      <c r="P90" s="985"/>
    </row>
    <row r="91" spans="1:17" s="296" customFormat="1" ht="24.95" customHeight="1">
      <c r="A91" s="17">
        <v>13</v>
      </c>
      <c r="B91" s="9" t="s">
        <v>518</v>
      </c>
      <c r="C91" s="9" t="s">
        <v>511</v>
      </c>
      <c r="D91" s="147"/>
      <c r="E91" s="10" t="s">
        <v>512</v>
      </c>
      <c r="F91" s="18">
        <v>38750</v>
      </c>
      <c r="G91" s="11">
        <v>39082</v>
      </c>
      <c r="H91" s="12">
        <f t="shared" si="16"/>
        <v>332</v>
      </c>
      <c r="I91" s="11">
        <v>38750</v>
      </c>
      <c r="J91" s="11">
        <v>39082</v>
      </c>
      <c r="K91" s="12">
        <f t="shared" si="17"/>
        <v>332</v>
      </c>
      <c r="L91" s="13">
        <f t="shared" si="18"/>
        <v>1</v>
      </c>
      <c r="M91" s="14">
        <v>0.6</v>
      </c>
      <c r="N91" s="15">
        <v>1</v>
      </c>
      <c r="O91" s="16">
        <f t="shared" si="19"/>
        <v>0.6</v>
      </c>
      <c r="P91" s="985"/>
    </row>
    <row r="92" spans="1:17" s="296" customFormat="1" ht="24.95" customHeight="1">
      <c r="A92" s="17">
        <v>15</v>
      </c>
      <c r="B92" s="9" t="s">
        <v>178</v>
      </c>
      <c r="C92" s="9" t="s">
        <v>511</v>
      </c>
      <c r="D92" s="147"/>
      <c r="E92" s="10" t="s">
        <v>512</v>
      </c>
      <c r="F92" s="18">
        <v>37435</v>
      </c>
      <c r="G92" s="11">
        <v>39414</v>
      </c>
      <c r="H92" s="12">
        <f t="shared" si="16"/>
        <v>1979</v>
      </c>
      <c r="I92" s="11">
        <v>37435</v>
      </c>
      <c r="J92" s="11">
        <v>39414</v>
      </c>
      <c r="K92" s="12">
        <f t="shared" si="17"/>
        <v>1979</v>
      </c>
      <c r="L92" s="13">
        <f t="shared" si="18"/>
        <v>1</v>
      </c>
      <c r="M92" s="14">
        <v>1</v>
      </c>
      <c r="N92" s="15">
        <v>1</v>
      </c>
      <c r="O92" s="16">
        <f t="shared" si="19"/>
        <v>1</v>
      </c>
      <c r="P92" s="985"/>
    </row>
    <row r="93" spans="1:17" s="296" customFormat="1" ht="24.95" customHeight="1">
      <c r="A93" s="17">
        <v>16</v>
      </c>
      <c r="B93" s="9" t="s">
        <v>519</v>
      </c>
      <c r="C93" s="9" t="s">
        <v>511</v>
      </c>
      <c r="D93" s="147"/>
      <c r="E93" s="10" t="s">
        <v>512</v>
      </c>
      <c r="F93" s="18">
        <v>38834</v>
      </c>
      <c r="G93" s="18">
        <v>39482</v>
      </c>
      <c r="H93" s="12">
        <f t="shared" si="16"/>
        <v>648</v>
      </c>
      <c r="I93" s="11">
        <v>38834</v>
      </c>
      <c r="J93" s="11">
        <v>39482</v>
      </c>
      <c r="K93" s="12">
        <f t="shared" si="17"/>
        <v>648</v>
      </c>
      <c r="L93" s="13">
        <f t="shared" si="18"/>
        <v>1</v>
      </c>
      <c r="M93" s="14">
        <v>1</v>
      </c>
      <c r="N93" s="15">
        <v>1</v>
      </c>
      <c r="O93" s="16">
        <f t="shared" si="19"/>
        <v>1</v>
      </c>
      <c r="P93" s="985"/>
    </row>
    <row r="94" spans="1:17" s="298" customFormat="1" ht="24.95" customHeight="1" thickBot="1">
      <c r="A94" s="1006" t="s">
        <v>520</v>
      </c>
      <c r="B94" s="1007"/>
      <c r="C94" s="1007"/>
      <c r="D94" s="1007"/>
      <c r="E94" s="1007"/>
      <c r="F94" s="1007"/>
      <c r="G94" s="1007"/>
      <c r="H94" s="1007"/>
      <c r="I94" s="1007"/>
      <c r="J94" s="1007"/>
      <c r="K94" s="1007"/>
      <c r="L94" s="1007"/>
      <c r="M94" s="1007"/>
      <c r="N94" s="1008"/>
      <c r="O94" s="19">
        <f>SUM(O80:O93)</f>
        <v>8.75</v>
      </c>
      <c r="P94" s="347"/>
    </row>
    <row r="95" spans="1:17" s="335" customFormat="1" ht="12" customHeight="1">
      <c r="A95" s="318"/>
      <c r="B95" s="324"/>
      <c r="C95" s="320"/>
      <c r="D95" s="320"/>
      <c r="E95" s="320"/>
      <c r="F95" s="320"/>
      <c r="G95" s="320"/>
      <c r="H95" s="319"/>
      <c r="M95" s="321"/>
      <c r="N95" s="321"/>
      <c r="O95" s="322"/>
      <c r="P95" s="323"/>
      <c r="Q95" s="323"/>
    </row>
    <row r="96" spans="1:17" s="343" customFormat="1" ht="30" customHeight="1" thickBot="1">
      <c r="A96" s="995">
        <f>배점기준!C8</f>
        <v>0</v>
      </c>
      <c r="B96" s="996"/>
      <c r="C96" s="327" t="s">
        <v>521</v>
      </c>
      <c r="D96" s="1019" t="s">
        <v>522</v>
      </c>
      <c r="E96" s="1020"/>
      <c r="F96" s="338"/>
      <c r="G96" s="339"/>
      <c r="H96" s="339"/>
      <c r="I96" s="340"/>
      <c r="J96" s="340"/>
      <c r="K96" s="340"/>
      <c r="L96" s="340"/>
      <c r="M96" s="340"/>
      <c r="N96" s="340"/>
      <c r="O96" s="341"/>
      <c r="P96" s="342"/>
    </row>
    <row r="97" spans="1:16" s="286" customFormat="1" ht="24.95" customHeight="1">
      <c r="A97" s="1013" t="s">
        <v>523</v>
      </c>
      <c r="B97" s="1015" t="s">
        <v>524</v>
      </c>
      <c r="C97" s="1017" t="s">
        <v>525</v>
      </c>
      <c r="D97" s="139"/>
      <c r="E97" s="980" t="s">
        <v>527</v>
      </c>
      <c r="F97" s="991" t="s">
        <v>528</v>
      </c>
      <c r="G97" s="992"/>
      <c r="H97" s="992"/>
      <c r="I97" s="1000" t="s">
        <v>529</v>
      </c>
      <c r="J97" s="1005"/>
      <c r="K97" s="1001"/>
      <c r="L97" s="1009" t="s">
        <v>530</v>
      </c>
      <c r="M97" s="1011" t="s">
        <v>531</v>
      </c>
      <c r="N97" s="1012"/>
      <c r="O97" s="1009" t="s">
        <v>532</v>
      </c>
      <c r="P97" s="982" t="s">
        <v>533</v>
      </c>
    </row>
    <row r="98" spans="1:16" s="286" customFormat="1" ht="24.95" customHeight="1">
      <c r="A98" s="1014"/>
      <c r="B98" s="1016"/>
      <c r="C98" s="1018"/>
      <c r="D98" s="140"/>
      <c r="E98" s="981"/>
      <c r="F98" s="287" t="s">
        <v>534</v>
      </c>
      <c r="G98" s="287" t="s">
        <v>535</v>
      </c>
      <c r="H98" s="287" t="s">
        <v>536</v>
      </c>
      <c r="I98" s="287" t="s">
        <v>537</v>
      </c>
      <c r="J98" s="287" t="s">
        <v>538</v>
      </c>
      <c r="K98" s="287" t="s">
        <v>539</v>
      </c>
      <c r="L98" s="1010"/>
      <c r="M98" s="6" t="s">
        <v>540</v>
      </c>
      <c r="N98" s="7" t="s">
        <v>541</v>
      </c>
      <c r="O98" s="1010"/>
      <c r="P98" s="983"/>
    </row>
    <row r="99" spans="1:16" s="296" customFormat="1" ht="24.95" customHeight="1">
      <c r="A99" s="8">
        <v>1</v>
      </c>
      <c r="B99" s="9" t="s">
        <v>172</v>
      </c>
      <c r="C99" s="9" t="s">
        <v>511</v>
      </c>
      <c r="D99" s="147"/>
      <c r="E99" s="10" t="s">
        <v>512</v>
      </c>
      <c r="F99" s="11">
        <v>34645</v>
      </c>
      <c r="G99" s="11">
        <v>36522</v>
      </c>
      <c r="H99" s="12">
        <f>IF(G99-F99&gt;=90,G99-F99,0)</f>
        <v>1877</v>
      </c>
      <c r="I99" s="11">
        <v>34645</v>
      </c>
      <c r="J99" s="11">
        <v>36522</v>
      </c>
      <c r="K99" s="12">
        <f>IF(J99-I99&gt;=30,J99-I99,0)</f>
        <v>1877</v>
      </c>
      <c r="L99" s="13">
        <f>K99/H99</f>
        <v>1</v>
      </c>
      <c r="M99" s="14">
        <v>1</v>
      </c>
      <c r="N99" s="15">
        <v>0.6</v>
      </c>
      <c r="O99" s="16">
        <f>ROUND(L99*M99*N99,2)</f>
        <v>0.6</v>
      </c>
      <c r="P99" s="984"/>
    </row>
    <row r="100" spans="1:16" s="298" customFormat="1" ht="24.95" customHeight="1">
      <c r="A100" s="17">
        <v>2</v>
      </c>
      <c r="B100" s="9" t="s">
        <v>173</v>
      </c>
      <c r="C100" s="9" t="s">
        <v>511</v>
      </c>
      <c r="D100" s="147"/>
      <c r="E100" s="10" t="s">
        <v>512</v>
      </c>
      <c r="F100" s="11">
        <v>34692</v>
      </c>
      <c r="G100" s="11">
        <v>37063</v>
      </c>
      <c r="H100" s="12">
        <f t="shared" ref="H100:H112" si="20">IF(G100-F100&gt;=90,G100-F100,0)</f>
        <v>2371</v>
      </c>
      <c r="I100" s="11">
        <v>34692</v>
      </c>
      <c r="J100" s="11">
        <v>36525</v>
      </c>
      <c r="K100" s="12">
        <f t="shared" ref="K100:K112" si="21">IF(J100-I100&gt;=30,J100-I100,0)</f>
        <v>1833</v>
      </c>
      <c r="L100" s="13">
        <f t="shared" ref="L100:L112" si="22">K100/H100</f>
        <v>0.7730915225643189</v>
      </c>
      <c r="M100" s="14">
        <v>0.6</v>
      </c>
      <c r="N100" s="15">
        <v>0.6</v>
      </c>
      <c r="O100" s="16">
        <f t="shared" ref="O100:O112" si="23">ROUND(L100*M100*N100,2)</f>
        <v>0.28000000000000003</v>
      </c>
      <c r="P100" s="985"/>
    </row>
    <row r="101" spans="1:16" s="298" customFormat="1" ht="24.95" customHeight="1">
      <c r="A101" s="17">
        <v>3</v>
      </c>
      <c r="B101" s="9" t="s">
        <v>174</v>
      </c>
      <c r="C101" s="9" t="s">
        <v>511</v>
      </c>
      <c r="D101" s="147"/>
      <c r="E101" s="10" t="s">
        <v>512</v>
      </c>
      <c r="F101" s="11">
        <v>34967</v>
      </c>
      <c r="G101" s="11">
        <v>36871</v>
      </c>
      <c r="H101" s="12">
        <f t="shared" si="20"/>
        <v>1904</v>
      </c>
      <c r="I101" s="11">
        <v>34967</v>
      </c>
      <c r="J101" s="11">
        <v>36871</v>
      </c>
      <c r="K101" s="12">
        <f t="shared" si="21"/>
        <v>1904</v>
      </c>
      <c r="L101" s="13">
        <f t="shared" si="22"/>
        <v>1</v>
      </c>
      <c r="M101" s="14">
        <v>1</v>
      </c>
      <c r="N101" s="15">
        <v>1</v>
      </c>
      <c r="O101" s="16">
        <f t="shared" si="23"/>
        <v>1</v>
      </c>
      <c r="P101" s="985"/>
    </row>
    <row r="102" spans="1:16" s="298" customFormat="1" ht="24.95" customHeight="1">
      <c r="A102" s="17">
        <v>4</v>
      </c>
      <c r="B102" s="9" t="s">
        <v>175</v>
      </c>
      <c r="C102" s="9" t="s">
        <v>511</v>
      </c>
      <c r="D102" s="147"/>
      <c r="E102" s="10" t="s">
        <v>512</v>
      </c>
      <c r="F102" s="11">
        <v>36194</v>
      </c>
      <c r="G102" s="11">
        <v>37008</v>
      </c>
      <c r="H102" s="12">
        <f t="shared" si="20"/>
        <v>814</v>
      </c>
      <c r="I102" s="11">
        <v>36194</v>
      </c>
      <c r="J102" s="11">
        <v>37008</v>
      </c>
      <c r="K102" s="12">
        <f t="shared" si="21"/>
        <v>814</v>
      </c>
      <c r="L102" s="13">
        <f t="shared" si="22"/>
        <v>1</v>
      </c>
      <c r="M102" s="14">
        <v>0.6</v>
      </c>
      <c r="N102" s="15">
        <v>1</v>
      </c>
      <c r="O102" s="16">
        <f t="shared" si="23"/>
        <v>0.6</v>
      </c>
      <c r="P102" s="985"/>
    </row>
    <row r="103" spans="1:16" s="298" customFormat="1" ht="24.95" customHeight="1">
      <c r="A103" s="17">
        <v>5</v>
      </c>
      <c r="B103" s="9" t="s">
        <v>513</v>
      </c>
      <c r="C103" s="9" t="s">
        <v>511</v>
      </c>
      <c r="D103" s="147"/>
      <c r="E103" s="10" t="s">
        <v>512</v>
      </c>
      <c r="F103" s="11">
        <v>37369</v>
      </c>
      <c r="G103" s="11">
        <v>37954</v>
      </c>
      <c r="H103" s="12">
        <f t="shared" si="20"/>
        <v>585</v>
      </c>
      <c r="I103" s="11">
        <v>37369</v>
      </c>
      <c r="J103" s="11">
        <v>37954</v>
      </c>
      <c r="K103" s="12">
        <f t="shared" si="21"/>
        <v>585</v>
      </c>
      <c r="L103" s="13">
        <f t="shared" si="22"/>
        <v>1</v>
      </c>
      <c r="M103" s="14">
        <v>1</v>
      </c>
      <c r="N103" s="15">
        <v>0.6</v>
      </c>
      <c r="O103" s="16">
        <f t="shared" si="23"/>
        <v>0.6</v>
      </c>
      <c r="P103" s="985"/>
    </row>
    <row r="104" spans="1:16" s="296" customFormat="1" ht="24.95" customHeight="1">
      <c r="A104" s="17">
        <v>7</v>
      </c>
      <c r="B104" s="9" t="s">
        <v>176</v>
      </c>
      <c r="C104" s="9" t="s">
        <v>511</v>
      </c>
      <c r="D104" s="147"/>
      <c r="E104" s="10" t="s">
        <v>512</v>
      </c>
      <c r="F104" s="11">
        <v>37673</v>
      </c>
      <c r="G104" s="11">
        <v>38929</v>
      </c>
      <c r="H104" s="12">
        <f t="shared" si="20"/>
        <v>1256</v>
      </c>
      <c r="I104" s="11">
        <v>37673</v>
      </c>
      <c r="J104" s="11">
        <v>38929</v>
      </c>
      <c r="K104" s="12">
        <f t="shared" si="21"/>
        <v>1256</v>
      </c>
      <c r="L104" s="13">
        <f t="shared" si="22"/>
        <v>1</v>
      </c>
      <c r="M104" s="14">
        <v>0.6</v>
      </c>
      <c r="N104" s="15">
        <v>0.6</v>
      </c>
      <c r="O104" s="16">
        <f t="shared" si="23"/>
        <v>0.36</v>
      </c>
      <c r="P104" s="985"/>
    </row>
    <row r="105" spans="1:16" s="296" customFormat="1" ht="24.95" customHeight="1">
      <c r="A105" s="17">
        <v>8</v>
      </c>
      <c r="B105" s="9" t="s">
        <v>177</v>
      </c>
      <c r="C105" s="9" t="s">
        <v>511</v>
      </c>
      <c r="D105" s="147"/>
      <c r="E105" s="10" t="s">
        <v>512</v>
      </c>
      <c r="F105" s="11">
        <v>38240</v>
      </c>
      <c r="G105" s="11">
        <v>39562</v>
      </c>
      <c r="H105" s="12">
        <f t="shared" si="20"/>
        <v>1322</v>
      </c>
      <c r="I105" s="11">
        <v>38240</v>
      </c>
      <c r="J105" s="11">
        <v>39562</v>
      </c>
      <c r="K105" s="12">
        <f t="shared" si="21"/>
        <v>1322</v>
      </c>
      <c r="L105" s="13">
        <f t="shared" si="22"/>
        <v>1</v>
      </c>
      <c r="M105" s="14">
        <v>1</v>
      </c>
      <c r="N105" s="15">
        <v>1</v>
      </c>
      <c r="O105" s="16">
        <f t="shared" si="23"/>
        <v>1</v>
      </c>
      <c r="P105" s="985"/>
    </row>
    <row r="106" spans="1:16" s="296" customFormat="1" ht="24.95" customHeight="1">
      <c r="A106" s="17">
        <v>9</v>
      </c>
      <c r="B106" s="9" t="s">
        <v>514</v>
      </c>
      <c r="C106" s="9" t="s">
        <v>511</v>
      </c>
      <c r="D106" s="147"/>
      <c r="E106" s="10" t="s">
        <v>512</v>
      </c>
      <c r="F106" s="11">
        <v>38078</v>
      </c>
      <c r="G106" s="11">
        <v>38660</v>
      </c>
      <c r="H106" s="12">
        <f t="shared" si="20"/>
        <v>582</v>
      </c>
      <c r="I106" s="11">
        <v>38078</v>
      </c>
      <c r="J106" s="11">
        <v>38660</v>
      </c>
      <c r="K106" s="12">
        <f t="shared" si="21"/>
        <v>582</v>
      </c>
      <c r="L106" s="13">
        <f t="shared" si="22"/>
        <v>1</v>
      </c>
      <c r="M106" s="14">
        <v>0.6</v>
      </c>
      <c r="N106" s="15">
        <v>1</v>
      </c>
      <c r="O106" s="16">
        <f t="shared" si="23"/>
        <v>0.6</v>
      </c>
      <c r="P106" s="985"/>
    </row>
    <row r="107" spans="1:16" s="296" customFormat="1" ht="24.95" customHeight="1">
      <c r="A107" s="17">
        <v>10</v>
      </c>
      <c r="B107" s="9" t="s">
        <v>515</v>
      </c>
      <c r="C107" s="9" t="s">
        <v>511</v>
      </c>
      <c r="D107" s="147"/>
      <c r="E107" s="10" t="s">
        <v>512</v>
      </c>
      <c r="F107" s="18">
        <v>38127</v>
      </c>
      <c r="G107" s="18">
        <v>38717</v>
      </c>
      <c r="H107" s="12">
        <f t="shared" si="20"/>
        <v>590</v>
      </c>
      <c r="I107" s="11">
        <v>38127</v>
      </c>
      <c r="J107" s="11">
        <v>38717</v>
      </c>
      <c r="K107" s="12">
        <f t="shared" si="21"/>
        <v>590</v>
      </c>
      <c r="L107" s="13">
        <f t="shared" si="22"/>
        <v>1</v>
      </c>
      <c r="M107" s="14">
        <v>1</v>
      </c>
      <c r="N107" s="15">
        <v>0.6</v>
      </c>
      <c r="O107" s="16">
        <f t="shared" si="23"/>
        <v>0.6</v>
      </c>
      <c r="P107" s="985"/>
    </row>
    <row r="108" spans="1:16" s="296" customFormat="1" ht="24.95" customHeight="1">
      <c r="A108" s="17">
        <v>11</v>
      </c>
      <c r="B108" s="9" t="s">
        <v>516</v>
      </c>
      <c r="C108" s="9" t="s">
        <v>511</v>
      </c>
      <c r="D108" s="147"/>
      <c r="E108" s="10" t="s">
        <v>512</v>
      </c>
      <c r="F108" s="18">
        <v>38098</v>
      </c>
      <c r="G108" s="11">
        <v>38717</v>
      </c>
      <c r="H108" s="12">
        <f t="shared" si="20"/>
        <v>619</v>
      </c>
      <c r="I108" s="11">
        <v>38098</v>
      </c>
      <c r="J108" s="11">
        <v>38656</v>
      </c>
      <c r="K108" s="12">
        <f t="shared" si="21"/>
        <v>558</v>
      </c>
      <c r="L108" s="13">
        <f t="shared" si="22"/>
        <v>0.90145395799676897</v>
      </c>
      <c r="M108" s="14">
        <v>0.6</v>
      </c>
      <c r="N108" s="15">
        <v>0.6</v>
      </c>
      <c r="O108" s="16">
        <f t="shared" si="23"/>
        <v>0.32</v>
      </c>
      <c r="P108" s="985"/>
    </row>
    <row r="109" spans="1:16" s="296" customFormat="1" ht="24.95" customHeight="1">
      <c r="A109" s="17">
        <v>12</v>
      </c>
      <c r="B109" s="9" t="s">
        <v>517</v>
      </c>
      <c r="C109" s="9" t="s">
        <v>511</v>
      </c>
      <c r="D109" s="147"/>
      <c r="E109" s="10" t="s">
        <v>512</v>
      </c>
      <c r="F109" s="18">
        <v>37376</v>
      </c>
      <c r="G109" s="18">
        <v>38730</v>
      </c>
      <c r="H109" s="12">
        <f t="shared" si="20"/>
        <v>1354</v>
      </c>
      <c r="I109" s="11">
        <v>38472</v>
      </c>
      <c r="J109" s="11">
        <v>38730</v>
      </c>
      <c r="K109" s="12">
        <f t="shared" si="21"/>
        <v>258</v>
      </c>
      <c r="L109" s="13">
        <f t="shared" si="22"/>
        <v>0.19054652880354506</v>
      </c>
      <c r="M109" s="14">
        <v>1</v>
      </c>
      <c r="N109" s="15">
        <v>1</v>
      </c>
      <c r="O109" s="16">
        <f t="shared" si="23"/>
        <v>0.19</v>
      </c>
      <c r="P109" s="985"/>
    </row>
    <row r="110" spans="1:16" s="296" customFormat="1" ht="24.95" customHeight="1">
      <c r="A110" s="17">
        <v>13</v>
      </c>
      <c r="B110" s="9" t="s">
        <v>518</v>
      </c>
      <c r="C110" s="9" t="s">
        <v>511</v>
      </c>
      <c r="D110" s="147"/>
      <c r="E110" s="10" t="s">
        <v>512</v>
      </c>
      <c r="F110" s="18">
        <v>38750</v>
      </c>
      <c r="G110" s="11">
        <v>39082</v>
      </c>
      <c r="H110" s="12">
        <f t="shared" si="20"/>
        <v>332</v>
      </c>
      <c r="I110" s="11">
        <v>38750</v>
      </c>
      <c r="J110" s="11">
        <v>39082</v>
      </c>
      <c r="K110" s="12">
        <f t="shared" si="21"/>
        <v>332</v>
      </c>
      <c r="L110" s="13">
        <f t="shared" si="22"/>
        <v>1</v>
      </c>
      <c r="M110" s="14">
        <v>0.6</v>
      </c>
      <c r="N110" s="15">
        <v>1</v>
      </c>
      <c r="O110" s="16">
        <f t="shared" si="23"/>
        <v>0.6</v>
      </c>
      <c r="P110" s="985"/>
    </row>
    <row r="111" spans="1:16" s="296" customFormat="1" ht="24.95" customHeight="1">
      <c r="A111" s="17">
        <v>15</v>
      </c>
      <c r="B111" s="9" t="s">
        <v>178</v>
      </c>
      <c r="C111" s="9" t="s">
        <v>511</v>
      </c>
      <c r="D111" s="147"/>
      <c r="E111" s="10" t="s">
        <v>512</v>
      </c>
      <c r="F111" s="18">
        <v>37435</v>
      </c>
      <c r="G111" s="11">
        <v>39414</v>
      </c>
      <c r="H111" s="12">
        <f t="shared" si="20"/>
        <v>1979</v>
      </c>
      <c r="I111" s="11">
        <v>37435</v>
      </c>
      <c r="J111" s="11">
        <v>39414</v>
      </c>
      <c r="K111" s="12">
        <f t="shared" si="21"/>
        <v>1979</v>
      </c>
      <c r="L111" s="13">
        <f t="shared" si="22"/>
        <v>1</v>
      </c>
      <c r="M111" s="14">
        <v>1</v>
      </c>
      <c r="N111" s="15">
        <v>1</v>
      </c>
      <c r="O111" s="16">
        <f t="shared" si="23"/>
        <v>1</v>
      </c>
      <c r="P111" s="985"/>
    </row>
    <row r="112" spans="1:16" s="296" customFormat="1" ht="24.95" customHeight="1">
      <c r="A112" s="17">
        <v>16</v>
      </c>
      <c r="B112" s="9" t="s">
        <v>519</v>
      </c>
      <c r="C112" s="9" t="s">
        <v>511</v>
      </c>
      <c r="D112" s="147"/>
      <c r="E112" s="10" t="s">
        <v>512</v>
      </c>
      <c r="F112" s="18">
        <v>38834</v>
      </c>
      <c r="G112" s="18">
        <v>39482</v>
      </c>
      <c r="H112" s="12">
        <f t="shared" si="20"/>
        <v>648</v>
      </c>
      <c r="I112" s="11">
        <v>38834</v>
      </c>
      <c r="J112" s="11">
        <v>39482</v>
      </c>
      <c r="K112" s="12">
        <f t="shared" si="21"/>
        <v>648</v>
      </c>
      <c r="L112" s="13">
        <f t="shared" si="22"/>
        <v>1</v>
      </c>
      <c r="M112" s="14">
        <v>1</v>
      </c>
      <c r="N112" s="15">
        <v>1</v>
      </c>
      <c r="O112" s="16">
        <f t="shared" si="23"/>
        <v>1</v>
      </c>
      <c r="P112" s="985"/>
    </row>
    <row r="113" spans="1:17" s="298" customFormat="1" ht="24.95" customHeight="1" thickBot="1">
      <c r="A113" s="1006" t="s">
        <v>520</v>
      </c>
      <c r="B113" s="1007"/>
      <c r="C113" s="1007"/>
      <c r="D113" s="1007"/>
      <c r="E113" s="1007"/>
      <c r="F113" s="1007"/>
      <c r="G113" s="1007"/>
      <c r="H113" s="1007"/>
      <c r="I113" s="1007"/>
      <c r="J113" s="1007"/>
      <c r="K113" s="1007"/>
      <c r="L113" s="1007"/>
      <c r="M113" s="1007"/>
      <c r="N113" s="1008"/>
      <c r="O113" s="19">
        <f>SUM(O99:O112)</f>
        <v>8.75</v>
      </c>
      <c r="P113" s="347"/>
    </row>
    <row r="114" spans="1:17" s="335" customFormat="1" ht="12" customHeight="1">
      <c r="A114" s="318"/>
      <c r="B114" s="324"/>
      <c r="C114" s="320"/>
      <c r="D114" s="320"/>
      <c r="E114" s="320"/>
      <c r="F114" s="320"/>
      <c r="G114" s="320"/>
      <c r="H114" s="319"/>
      <c r="M114" s="321"/>
      <c r="N114" s="321"/>
      <c r="O114" s="322"/>
      <c r="P114" s="323"/>
      <c r="Q114" s="323"/>
    </row>
    <row r="115" spans="1:17" s="335" customFormat="1" ht="12" customHeight="1">
      <c r="A115" s="318"/>
      <c r="B115" s="324"/>
      <c r="C115" s="320"/>
      <c r="D115" s="320"/>
      <c r="E115" s="320"/>
      <c r="F115" s="320"/>
      <c r="G115" s="320"/>
      <c r="H115" s="319"/>
      <c r="M115" s="321"/>
      <c r="N115" s="321"/>
      <c r="O115" s="322"/>
      <c r="P115" s="323"/>
      <c r="Q115" s="323"/>
    </row>
    <row r="116" spans="1:17" s="335" customFormat="1" ht="12" customHeight="1">
      <c r="A116" s="318"/>
      <c r="B116" s="324"/>
      <c r="C116" s="320"/>
      <c r="D116" s="320"/>
      <c r="E116" s="320"/>
      <c r="F116" s="320"/>
      <c r="G116" s="320"/>
      <c r="H116" s="319"/>
      <c r="M116" s="321"/>
      <c r="N116" s="321"/>
      <c r="O116" s="322"/>
      <c r="P116" s="323"/>
      <c r="Q116" s="323"/>
    </row>
    <row r="117" spans="1:17" s="335" customFormat="1" ht="12" customHeight="1">
      <c r="A117" s="318"/>
      <c r="B117" s="324"/>
      <c r="C117" s="320"/>
      <c r="D117" s="320"/>
      <c r="E117" s="320"/>
      <c r="F117" s="320"/>
      <c r="G117" s="320"/>
      <c r="H117" s="319"/>
      <c r="M117" s="321"/>
      <c r="N117" s="321"/>
      <c r="O117" s="322"/>
      <c r="P117" s="323"/>
      <c r="Q117" s="323"/>
    </row>
    <row r="118" spans="1:17" s="335" customFormat="1" ht="12" customHeight="1">
      <c r="A118" s="318"/>
      <c r="B118" s="324"/>
      <c r="C118" s="320"/>
      <c r="D118" s="320"/>
      <c r="E118" s="320"/>
      <c r="F118" s="320"/>
      <c r="G118" s="320"/>
      <c r="H118" s="319"/>
      <c r="M118" s="321"/>
      <c r="N118" s="321"/>
      <c r="O118" s="322"/>
      <c r="P118" s="323"/>
      <c r="Q118" s="323"/>
    </row>
    <row r="119" spans="1:17" s="335" customFormat="1" ht="12" customHeight="1">
      <c r="A119" s="318"/>
      <c r="B119" s="324"/>
      <c r="C119" s="320"/>
      <c r="D119" s="320"/>
      <c r="E119" s="320"/>
      <c r="F119" s="320"/>
      <c r="G119" s="320"/>
      <c r="H119" s="319"/>
      <c r="M119" s="321"/>
      <c r="N119" s="321"/>
      <c r="O119" s="322"/>
      <c r="P119" s="323"/>
      <c r="Q119" s="323"/>
    </row>
    <row r="120" spans="1:17" s="335" customFormat="1" ht="12" customHeight="1">
      <c r="A120" s="318"/>
      <c r="B120" s="324"/>
      <c r="C120" s="320"/>
      <c r="D120" s="320"/>
      <c r="E120" s="320"/>
      <c r="F120" s="320"/>
      <c r="G120" s="320"/>
      <c r="H120" s="319"/>
      <c r="M120" s="321"/>
      <c r="N120" s="321"/>
      <c r="O120" s="322"/>
      <c r="P120" s="323"/>
      <c r="Q120" s="323"/>
    </row>
    <row r="121" spans="1:17" s="335" customFormat="1" ht="12" customHeight="1">
      <c r="A121" s="318"/>
      <c r="B121" s="324"/>
      <c r="C121" s="320"/>
      <c r="D121" s="320"/>
      <c r="E121" s="320"/>
      <c r="F121" s="320"/>
      <c r="G121" s="320"/>
      <c r="H121" s="319"/>
      <c r="M121" s="321"/>
      <c r="N121" s="321"/>
      <c r="O121" s="322"/>
      <c r="P121" s="323"/>
      <c r="Q121" s="323"/>
    </row>
    <row r="122" spans="1:17" s="335" customFormat="1" ht="12" customHeight="1">
      <c r="A122" s="318"/>
      <c r="B122" s="324"/>
      <c r="C122" s="320"/>
      <c r="D122" s="320"/>
      <c r="E122" s="320"/>
      <c r="F122" s="320"/>
      <c r="G122" s="320"/>
      <c r="H122" s="319"/>
      <c r="M122" s="321"/>
      <c r="N122" s="321"/>
      <c r="O122" s="322"/>
      <c r="P122" s="323"/>
      <c r="Q122" s="323"/>
    </row>
    <row r="123" spans="1:17" s="335" customFormat="1" ht="12" customHeight="1">
      <c r="A123" s="318"/>
      <c r="B123" s="324"/>
      <c r="C123" s="320"/>
      <c r="D123" s="320"/>
      <c r="E123" s="320"/>
      <c r="F123" s="320"/>
      <c r="G123" s="320"/>
      <c r="H123" s="319"/>
      <c r="M123" s="321"/>
      <c r="N123" s="321"/>
      <c r="O123" s="322"/>
      <c r="P123" s="323"/>
      <c r="Q123" s="323"/>
    </row>
    <row r="124" spans="1:17" s="335" customFormat="1" ht="12" customHeight="1">
      <c r="A124" s="318"/>
      <c r="B124" s="324"/>
      <c r="C124" s="320"/>
      <c r="D124" s="320"/>
      <c r="E124" s="320"/>
      <c r="F124" s="320"/>
      <c r="G124" s="320"/>
      <c r="H124" s="319"/>
      <c r="M124" s="321"/>
      <c r="N124" s="321"/>
      <c r="O124" s="322"/>
      <c r="P124" s="323"/>
      <c r="Q124" s="323"/>
    </row>
    <row r="125" spans="1:17" s="335" customFormat="1" ht="12" customHeight="1">
      <c r="A125" s="318"/>
      <c r="B125" s="324"/>
      <c r="C125" s="320"/>
      <c r="D125" s="320"/>
      <c r="E125" s="320"/>
      <c r="F125" s="320"/>
      <c r="G125" s="320"/>
      <c r="H125" s="319"/>
      <c r="M125" s="321"/>
      <c r="N125" s="321"/>
      <c r="O125" s="322"/>
      <c r="P125" s="323"/>
      <c r="Q125" s="323"/>
    </row>
    <row r="126" spans="1:17" s="335" customFormat="1" ht="12" customHeight="1">
      <c r="A126" s="318"/>
      <c r="B126" s="324"/>
      <c r="C126" s="320"/>
      <c r="D126" s="320"/>
      <c r="E126" s="320"/>
      <c r="F126" s="320"/>
      <c r="G126" s="320"/>
      <c r="H126" s="319"/>
      <c r="M126" s="321"/>
      <c r="N126" s="321"/>
      <c r="O126" s="322"/>
      <c r="P126" s="323"/>
      <c r="Q126" s="323"/>
    </row>
    <row r="127" spans="1:17" s="335" customFormat="1" ht="12" customHeight="1">
      <c r="A127" s="318"/>
      <c r="B127" s="324"/>
      <c r="C127" s="320"/>
      <c r="D127" s="320"/>
      <c r="E127" s="320"/>
      <c r="F127" s="320"/>
      <c r="G127" s="320"/>
      <c r="H127" s="319"/>
      <c r="M127" s="321"/>
      <c r="N127" s="321"/>
      <c r="O127" s="322"/>
      <c r="P127" s="323"/>
      <c r="Q127" s="323"/>
    </row>
    <row r="128" spans="1:17" s="335" customFormat="1" ht="12" customHeight="1">
      <c r="A128" s="318"/>
      <c r="B128" s="324"/>
      <c r="C128" s="320"/>
      <c r="D128" s="320"/>
      <c r="E128" s="320"/>
      <c r="F128" s="320"/>
      <c r="G128" s="320"/>
      <c r="H128" s="319"/>
      <c r="M128" s="321"/>
      <c r="N128" s="321"/>
      <c r="O128" s="322"/>
      <c r="P128" s="323"/>
      <c r="Q128" s="323"/>
    </row>
    <row r="129" spans="1:17" s="335" customFormat="1" ht="12" customHeight="1">
      <c r="A129" s="318"/>
      <c r="B129" s="324"/>
      <c r="C129" s="320"/>
      <c r="D129" s="320"/>
      <c r="E129" s="320"/>
      <c r="F129" s="320"/>
      <c r="G129" s="320"/>
      <c r="H129" s="319"/>
      <c r="M129" s="321"/>
      <c r="N129" s="321"/>
      <c r="O129" s="322"/>
      <c r="P129" s="323"/>
      <c r="Q129" s="323"/>
    </row>
    <row r="130" spans="1:17" s="335" customFormat="1" ht="12" customHeight="1">
      <c r="A130" s="318"/>
      <c r="B130" s="324"/>
      <c r="C130" s="320"/>
      <c r="D130" s="320"/>
      <c r="E130" s="320"/>
      <c r="F130" s="320"/>
      <c r="G130" s="320"/>
      <c r="H130" s="319"/>
      <c r="M130" s="321"/>
      <c r="N130" s="321"/>
      <c r="O130" s="322"/>
      <c r="P130" s="323"/>
      <c r="Q130" s="323"/>
    </row>
    <row r="131" spans="1:17" s="335" customFormat="1" ht="12" customHeight="1">
      <c r="A131" s="318"/>
      <c r="B131" s="324"/>
      <c r="C131" s="320"/>
      <c r="D131" s="320"/>
      <c r="E131" s="320"/>
      <c r="F131" s="320"/>
      <c r="G131" s="320"/>
      <c r="H131" s="319"/>
      <c r="M131" s="321"/>
      <c r="N131" s="321"/>
      <c r="O131" s="322"/>
      <c r="P131" s="323"/>
      <c r="Q131" s="323"/>
    </row>
    <row r="132" spans="1:17" s="335" customFormat="1" ht="12" customHeight="1">
      <c r="A132" s="318"/>
      <c r="B132" s="324"/>
      <c r="C132" s="320"/>
      <c r="D132" s="320"/>
      <c r="E132" s="320"/>
      <c r="F132" s="320"/>
      <c r="G132" s="320"/>
      <c r="H132" s="319"/>
      <c r="M132" s="321"/>
      <c r="N132" s="321"/>
      <c r="O132" s="322"/>
      <c r="P132" s="323"/>
      <c r="Q132" s="323"/>
    </row>
    <row r="133" spans="1:17" s="335" customFormat="1" ht="12" customHeight="1">
      <c r="A133" s="318"/>
      <c r="B133" s="324"/>
      <c r="C133" s="320"/>
      <c r="D133" s="320"/>
      <c r="E133" s="320"/>
      <c r="F133" s="320"/>
      <c r="G133" s="320"/>
      <c r="H133" s="319"/>
      <c r="M133" s="321"/>
      <c r="N133" s="321"/>
      <c r="O133" s="322"/>
      <c r="P133" s="323"/>
      <c r="Q133" s="323"/>
    </row>
    <row r="134" spans="1:17" s="335" customFormat="1" ht="12" customHeight="1">
      <c r="A134" s="318"/>
      <c r="B134" s="324"/>
      <c r="C134" s="320"/>
      <c r="D134" s="320"/>
      <c r="E134" s="320"/>
      <c r="F134" s="320"/>
      <c r="G134" s="320"/>
      <c r="H134" s="319"/>
      <c r="M134" s="321"/>
      <c r="N134" s="321"/>
      <c r="O134" s="322"/>
      <c r="P134" s="323"/>
      <c r="Q134" s="323"/>
    </row>
    <row r="135" spans="1:17" s="335" customFormat="1" ht="12" customHeight="1">
      <c r="A135" s="318"/>
      <c r="B135" s="324"/>
      <c r="C135" s="320"/>
      <c r="D135" s="320"/>
      <c r="E135" s="320"/>
      <c r="F135" s="320"/>
      <c r="G135" s="320"/>
      <c r="H135" s="319"/>
      <c r="M135" s="321"/>
      <c r="N135" s="321"/>
      <c r="O135" s="322"/>
      <c r="P135" s="323"/>
      <c r="Q135" s="323"/>
    </row>
    <row r="136" spans="1:17" s="335" customFormat="1" ht="12" customHeight="1">
      <c r="A136" s="318"/>
      <c r="B136" s="324"/>
      <c r="C136" s="320"/>
      <c r="D136" s="320"/>
      <c r="E136" s="320"/>
      <c r="F136" s="320"/>
      <c r="G136" s="320"/>
      <c r="H136" s="319"/>
      <c r="M136" s="321"/>
      <c r="N136" s="321"/>
      <c r="O136" s="322"/>
      <c r="P136" s="323"/>
      <c r="Q136" s="323"/>
    </row>
    <row r="137" spans="1:17" s="335" customFormat="1" ht="12" customHeight="1">
      <c r="A137" s="318"/>
      <c r="B137" s="324"/>
      <c r="C137" s="320"/>
      <c r="D137" s="320"/>
      <c r="E137" s="320"/>
      <c r="F137" s="320"/>
      <c r="G137" s="320"/>
      <c r="H137" s="319"/>
      <c r="M137" s="321"/>
      <c r="N137" s="321"/>
      <c r="O137" s="322"/>
      <c r="P137" s="323"/>
      <c r="Q137" s="323"/>
    </row>
    <row r="138" spans="1:17" s="335" customFormat="1" ht="12" customHeight="1">
      <c r="A138" s="318"/>
      <c r="B138" s="324"/>
      <c r="C138" s="320"/>
      <c r="D138" s="320"/>
      <c r="E138" s="320"/>
      <c r="F138" s="320"/>
      <c r="G138" s="320"/>
      <c r="H138" s="319"/>
      <c r="M138" s="321"/>
      <c r="N138" s="321"/>
      <c r="O138" s="322"/>
      <c r="P138" s="323"/>
      <c r="Q138" s="323"/>
    </row>
    <row r="139" spans="1:17" s="335" customFormat="1" ht="12" customHeight="1">
      <c r="A139" s="318"/>
      <c r="B139" s="324"/>
      <c r="C139" s="320"/>
      <c r="D139" s="320"/>
      <c r="E139" s="320"/>
      <c r="F139" s="320"/>
      <c r="G139" s="320"/>
      <c r="H139" s="319"/>
      <c r="M139" s="321"/>
      <c r="N139" s="321"/>
      <c r="O139" s="322"/>
      <c r="P139" s="323"/>
      <c r="Q139" s="323"/>
    </row>
    <row r="140" spans="1:17" s="335" customFormat="1" ht="12" customHeight="1">
      <c r="A140" s="318"/>
      <c r="B140" s="324"/>
      <c r="C140" s="320"/>
      <c r="D140" s="320"/>
      <c r="E140" s="320"/>
      <c r="F140" s="320"/>
      <c r="G140" s="320"/>
      <c r="H140" s="319"/>
      <c r="M140" s="321"/>
      <c r="N140" s="321"/>
      <c r="O140" s="322"/>
      <c r="P140" s="323"/>
      <c r="Q140" s="323"/>
    </row>
    <row r="141" spans="1:17" s="335" customFormat="1" ht="12" customHeight="1">
      <c r="A141" s="318"/>
      <c r="B141" s="324"/>
      <c r="C141" s="320"/>
      <c r="D141" s="320"/>
      <c r="E141" s="320"/>
      <c r="F141" s="320"/>
      <c r="G141" s="320"/>
      <c r="H141" s="319"/>
      <c r="M141" s="321"/>
      <c r="N141" s="321"/>
      <c r="O141" s="322"/>
      <c r="P141" s="323"/>
      <c r="Q141" s="323"/>
    </row>
    <row r="142" spans="1:17" s="335" customFormat="1" ht="12" customHeight="1">
      <c r="A142" s="318"/>
      <c r="B142" s="324"/>
      <c r="C142" s="320"/>
      <c r="D142" s="320"/>
      <c r="E142" s="320"/>
      <c r="F142" s="320"/>
      <c r="G142" s="320"/>
      <c r="H142" s="319"/>
      <c r="M142" s="321"/>
      <c r="N142" s="321"/>
      <c r="O142" s="322"/>
      <c r="P142" s="323"/>
      <c r="Q142" s="323"/>
    </row>
    <row r="143" spans="1:17" s="335" customFormat="1" ht="12" customHeight="1">
      <c r="A143" s="318"/>
      <c r="B143" s="324"/>
      <c r="C143" s="320"/>
      <c r="D143" s="320"/>
      <c r="E143" s="320"/>
      <c r="F143" s="320"/>
      <c r="G143" s="320"/>
      <c r="H143" s="319"/>
      <c r="M143" s="321"/>
      <c r="N143" s="321"/>
      <c r="O143" s="322"/>
      <c r="P143" s="323"/>
      <c r="Q143" s="323"/>
    </row>
    <row r="144" spans="1:17" s="335" customFormat="1" ht="12" customHeight="1">
      <c r="A144" s="318"/>
      <c r="B144" s="324"/>
      <c r="C144" s="320"/>
      <c r="D144" s="320"/>
      <c r="E144" s="320"/>
      <c r="F144" s="320"/>
      <c r="G144" s="320"/>
      <c r="H144" s="319"/>
      <c r="M144" s="321"/>
      <c r="N144" s="321"/>
      <c r="O144" s="322"/>
      <c r="P144" s="323"/>
      <c r="Q144" s="323"/>
    </row>
    <row r="145" spans="1:17" s="335" customFormat="1" ht="12" customHeight="1">
      <c r="A145" s="318"/>
      <c r="B145" s="324"/>
      <c r="C145" s="320"/>
      <c r="D145" s="320"/>
      <c r="E145" s="320"/>
      <c r="F145" s="320"/>
      <c r="G145" s="320"/>
      <c r="H145" s="319"/>
      <c r="M145" s="321"/>
      <c r="N145" s="321"/>
      <c r="O145" s="322"/>
      <c r="P145" s="323"/>
      <c r="Q145" s="323"/>
    </row>
    <row r="146" spans="1:17" s="335" customFormat="1" ht="12" customHeight="1">
      <c r="A146" s="318"/>
      <c r="B146" s="324"/>
      <c r="C146" s="320"/>
      <c r="D146" s="320"/>
      <c r="E146" s="320"/>
      <c r="F146" s="320"/>
      <c r="G146" s="320"/>
      <c r="H146" s="319"/>
      <c r="M146" s="321"/>
      <c r="N146" s="321"/>
      <c r="O146" s="322"/>
      <c r="P146" s="323"/>
      <c r="Q146" s="323"/>
    </row>
    <row r="147" spans="1:17" s="335" customFormat="1" ht="12" customHeight="1">
      <c r="A147" s="318"/>
      <c r="B147" s="324"/>
      <c r="C147" s="320"/>
      <c r="D147" s="320"/>
      <c r="E147" s="320"/>
      <c r="F147" s="320"/>
      <c r="G147" s="320"/>
      <c r="H147" s="319"/>
      <c r="M147" s="321"/>
      <c r="N147" s="321"/>
      <c r="O147" s="322"/>
      <c r="P147" s="323"/>
      <c r="Q147" s="323"/>
    </row>
    <row r="148" spans="1:17" s="335" customFormat="1" ht="12" customHeight="1">
      <c r="A148" s="318"/>
      <c r="B148" s="324"/>
      <c r="C148" s="320"/>
      <c r="D148" s="320"/>
      <c r="E148" s="320"/>
      <c r="F148" s="320"/>
      <c r="G148" s="320"/>
      <c r="H148" s="319"/>
      <c r="M148" s="321"/>
      <c r="N148" s="321"/>
      <c r="O148" s="322"/>
      <c r="P148" s="323"/>
      <c r="Q148" s="323"/>
    </row>
    <row r="149" spans="1:17" s="335" customFormat="1" ht="12" customHeight="1">
      <c r="A149" s="318"/>
      <c r="B149" s="324"/>
      <c r="C149" s="320"/>
      <c r="D149" s="320"/>
      <c r="E149" s="320"/>
      <c r="F149" s="320"/>
      <c r="G149" s="320"/>
      <c r="H149" s="319"/>
      <c r="M149" s="321"/>
      <c r="N149" s="321"/>
      <c r="O149" s="322"/>
      <c r="P149" s="323"/>
      <c r="Q149" s="323"/>
    </row>
    <row r="150" spans="1:17" s="335" customFormat="1" ht="12" customHeight="1">
      <c r="A150" s="318"/>
      <c r="B150" s="324"/>
      <c r="C150" s="320"/>
      <c r="D150" s="320"/>
      <c r="E150" s="320"/>
      <c r="F150" s="320"/>
      <c r="G150" s="320"/>
      <c r="H150" s="319"/>
      <c r="M150" s="321"/>
      <c r="N150" s="321"/>
      <c r="O150" s="322"/>
      <c r="P150" s="323"/>
      <c r="Q150" s="323"/>
    </row>
    <row r="151" spans="1:17" s="335" customFormat="1" ht="12" customHeight="1">
      <c r="A151" s="318"/>
      <c r="B151" s="324"/>
      <c r="C151" s="320"/>
      <c r="D151" s="320"/>
      <c r="E151" s="320"/>
      <c r="F151" s="320"/>
      <c r="G151" s="320"/>
      <c r="H151" s="319"/>
      <c r="M151" s="321"/>
      <c r="N151" s="321"/>
      <c r="O151" s="322"/>
      <c r="P151" s="323"/>
      <c r="Q151" s="323"/>
    </row>
    <row r="152" spans="1:17" s="335" customFormat="1" ht="12" customHeight="1">
      <c r="A152" s="318"/>
      <c r="B152" s="324"/>
      <c r="C152" s="320"/>
      <c r="D152" s="320"/>
      <c r="E152" s="320"/>
      <c r="F152" s="320"/>
      <c r="G152" s="320"/>
      <c r="H152" s="319"/>
      <c r="M152" s="321"/>
      <c r="N152" s="321"/>
      <c r="O152" s="322"/>
      <c r="P152" s="323"/>
      <c r="Q152" s="323"/>
    </row>
    <row r="153" spans="1:17" s="335" customFormat="1" ht="12" customHeight="1">
      <c r="A153" s="318"/>
      <c r="B153" s="324"/>
      <c r="C153" s="320"/>
      <c r="D153" s="320"/>
      <c r="E153" s="320"/>
      <c r="F153" s="320"/>
      <c r="G153" s="320"/>
      <c r="H153" s="319"/>
      <c r="M153" s="321"/>
      <c r="N153" s="321"/>
      <c r="O153" s="322"/>
      <c r="P153" s="323"/>
      <c r="Q153" s="323"/>
    </row>
    <row r="154" spans="1:17" s="335" customFormat="1" ht="12" customHeight="1">
      <c r="A154" s="318"/>
      <c r="B154" s="324"/>
      <c r="C154" s="320"/>
      <c r="D154" s="320"/>
      <c r="E154" s="320"/>
      <c r="F154" s="320"/>
      <c r="G154" s="320"/>
      <c r="H154" s="319"/>
      <c r="M154" s="321"/>
      <c r="N154" s="321"/>
      <c r="O154" s="322"/>
      <c r="P154" s="323"/>
      <c r="Q154" s="323"/>
    </row>
    <row r="155" spans="1:17" s="335" customFormat="1" ht="12" customHeight="1">
      <c r="A155" s="318"/>
      <c r="B155" s="324"/>
      <c r="C155" s="320"/>
      <c r="D155" s="320"/>
      <c r="E155" s="320"/>
      <c r="F155" s="320"/>
      <c r="G155" s="320"/>
      <c r="H155" s="319"/>
      <c r="M155" s="321"/>
      <c r="N155" s="321"/>
      <c r="O155" s="322"/>
      <c r="P155" s="323"/>
      <c r="Q155" s="323"/>
    </row>
    <row r="156" spans="1:17" s="335" customFormat="1" ht="12" customHeight="1">
      <c r="A156" s="318"/>
      <c r="B156" s="324"/>
      <c r="C156" s="320"/>
      <c r="D156" s="320"/>
      <c r="E156" s="320"/>
      <c r="F156" s="320"/>
      <c r="G156" s="320"/>
      <c r="H156" s="319"/>
      <c r="M156" s="321"/>
      <c r="N156" s="321"/>
      <c r="O156" s="322"/>
      <c r="P156" s="323"/>
      <c r="Q156" s="323"/>
    </row>
    <row r="157" spans="1:17" s="335" customFormat="1" ht="12" customHeight="1">
      <c r="A157" s="318"/>
      <c r="B157" s="324"/>
      <c r="C157" s="320"/>
      <c r="D157" s="320"/>
      <c r="E157" s="320"/>
      <c r="F157" s="320"/>
      <c r="G157" s="320"/>
      <c r="H157" s="319"/>
      <c r="M157" s="321"/>
      <c r="N157" s="321"/>
      <c r="O157" s="322"/>
      <c r="P157" s="323"/>
      <c r="Q157" s="323"/>
    </row>
    <row r="158" spans="1:17" s="335" customFormat="1" ht="12" customHeight="1">
      <c r="A158" s="318"/>
      <c r="B158" s="324"/>
      <c r="C158" s="320"/>
      <c r="D158" s="320"/>
      <c r="E158" s="320"/>
      <c r="F158" s="320"/>
      <c r="G158" s="320"/>
      <c r="H158" s="319"/>
      <c r="M158" s="321"/>
      <c r="N158" s="321"/>
      <c r="O158" s="322"/>
      <c r="P158" s="323"/>
      <c r="Q158" s="323"/>
    </row>
    <row r="159" spans="1:17" s="335" customFormat="1" ht="12" customHeight="1">
      <c r="A159" s="318"/>
      <c r="B159" s="324"/>
      <c r="C159" s="320"/>
      <c r="D159" s="320"/>
      <c r="E159" s="320"/>
      <c r="F159" s="320"/>
      <c r="G159" s="320"/>
      <c r="H159" s="319"/>
      <c r="M159" s="321"/>
      <c r="N159" s="321"/>
      <c r="O159" s="322"/>
      <c r="P159" s="323"/>
      <c r="Q159" s="323"/>
    </row>
    <row r="160" spans="1:17" s="335" customFormat="1" ht="12" customHeight="1">
      <c r="A160" s="318"/>
      <c r="B160" s="324"/>
      <c r="C160" s="320"/>
      <c r="D160" s="320"/>
      <c r="E160" s="320"/>
      <c r="F160" s="320"/>
      <c r="G160" s="320"/>
      <c r="H160" s="319"/>
      <c r="M160" s="321"/>
      <c r="N160" s="321"/>
      <c r="O160" s="322"/>
      <c r="P160" s="323"/>
      <c r="Q160" s="323"/>
    </row>
    <row r="161" spans="1:17" s="335" customFormat="1" ht="12" customHeight="1">
      <c r="A161" s="318"/>
      <c r="B161" s="324"/>
      <c r="C161" s="320"/>
      <c r="D161" s="320"/>
      <c r="E161" s="320"/>
      <c r="F161" s="320"/>
      <c r="G161" s="320"/>
      <c r="H161" s="319"/>
      <c r="M161" s="321"/>
      <c r="N161" s="321"/>
      <c r="O161" s="322"/>
      <c r="P161" s="323"/>
      <c r="Q161" s="323"/>
    </row>
    <row r="162" spans="1:17" s="335" customFormat="1" ht="12" customHeight="1">
      <c r="A162" s="318"/>
      <c r="B162" s="324"/>
      <c r="C162" s="320"/>
      <c r="D162" s="320"/>
      <c r="E162" s="320"/>
      <c r="F162" s="320"/>
      <c r="G162" s="320"/>
      <c r="H162" s="319"/>
      <c r="M162" s="321"/>
      <c r="N162" s="321"/>
      <c r="O162" s="322"/>
      <c r="P162" s="323"/>
      <c r="Q162" s="323"/>
    </row>
    <row r="163" spans="1:17" s="335" customFormat="1" ht="12" customHeight="1">
      <c r="A163" s="318"/>
      <c r="B163" s="324"/>
      <c r="C163" s="320"/>
      <c r="D163" s="320"/>
      <c r="E163" s="320"/>
      <c r="F163" s="320"/>
      <c r="G163" s="320"/>
      <c r="H163" s="319"/>
      <c r="M163" s="321"/>
      <c r="N163" s="321"/>
      <c r="O163" s="322"/>
      <c r="P163" s="323"/>
      <c r="Q163" s="323"/>
    </row>
    <row r="164" spans="1:17" s="335" customFormat="1" ht="12" customHeight="1">
      <c r="A164" s="318"/>
      <c r="B164" s="324"/>
      <c r="C164" s="320"/>
      <c r="D164" s="320"/>
      <c r="E164" s="320"/>
      <c r="F164" s="320"/>
      <c r="G164" s="320"/>
      <c r="H164" s="319"/>
      <c r="M164" s="321"/>
      <c r="N164" s="321"/>
      <c r="O164" s="322"/>
      <c r="P164" s="323"/>
      <c r="Q164" s="323"/>
    </row>
    <row r="165" spans="1:17" s="335" customFormat="1" ht="12" customHeight="1">
      <c r="A165" s="318"/>
      <c r="B165" s="324"/>
      <c r="C165" s="320"/>
      <c r="D165" s="320"/>
      <c r="E165" s="320"/>
      <c r="F165" s="320"/>
      <c r="G165" s="320"/>
      <c r="H165" s="319"/>
      <c r="M165" s="321"/>
      <c r="N165" s="321"/>
      <c r="O165" s="322"/>
      <c r="P165" s="323"/>
      <c r="Q165" s="323"/>
    </row>
    <row r="166" spans="1:17" s="335" customFormat="1" ht="12" customHeight="1">
      <c r="A166" s="318"/>
      <c r="B166" s="324"/>
      <c r="C166" s="320"/>
      <c r="D166" s="320"/>
      <c r="E166" s="320"/>
      <c r="F166" s="320"/>
      <c r="G166" s="320"/>
      <c r="H166" s="319"/>
      <c r="M166" s="321"/>
      <c r="N166" s="321"/>
      <c r="O166" s="322"/>
      <c r="P166" s="323"/>
      <c r="Q166" s="323"/>
    </row>
    <row r="167" spans="1:17" s="335" customFormat="1" ht="12" customHeight="1">
      <c r="A167" s="318"/>
      <c r="B167" s="324"/>
      <c r="C167" s="320"/>
      <c r="D167" s="320"/>
      <c r="E167" s="320"/>
      <c r="F167" s="320"/>
      <c r="G167" s="320"/>
      <c r="H167" s="319"/>
      <c r="M167" s="321"/>
      <c r="N167" s="321"/>
      <c r="O167" s="322"/>
      <c r="P167" s="323"/>
      <c r="Q167" s="323"/>
    </row>
    <row r="168" spans="1:17" s="335" customFormat="1" ht="12" customHeight="1">
      <c r="A168" s="318"/>
      <c r="B168" s="324"/>
      <c r="C168" s="320"/>
      <c r="D168" s="320"/>
      <c r="E168" s="320"/>
      <c r="F168" s="320"/>
      <c r="G168" s="320"/>
      <c r="H168" s="319"/>
      <c r="M168" s="321"/>
      <c r="N168" s="321"/>
      <c r="O168" s="322"/>
      <c r="P168" s="323"/>
      <c r="Q168" s="323"/>
    </row>
    <row r="169" spans="1:17" s="335" customFormat="1" ht="12" customHeight="1">
      <c r="A169" s="318"/>
      <c r="B169" s="324"/>
      <c r="C169" s="320"/>
      <c r="D169" s="320"/>
      <c r="E169" s="320"/>
      <c r="F169" s="320"/>
      <c r="G169" s="320"/>
      <c r="H169" s="319"/>
      <c r="M169" s="321"/>
      <c r="N169" s="321"/>
      <c r="O169" s="322"/>
      <c r="P169" s="323"/>
      <c r="Q169" s="323"/>
    </row>
    <row r="170" spans="1:17" s="335" customFormat="1" ht="12" customHeight="1">
      <c r="A170" s="318"/>
      <c r="B170" s="324"/>
      <c r="C170" s="320"/>
      <c r="D170" s="320"/>
      <c r="E170" s="320"/>
      <c r="F170" s="320"/>
      <c r="G170" s="320"/>
      <c r="H170" s="319"/>
      <c r="M170" s="321"/>
      <c r="N170" s="321"/>
      <c r="O170" s="322"/>
      <c r="P170" s="323"/>
      <c r="Q170" s="323"/>
    </row>
    <row r="171" spans="1:17" s="335" customFormat="1" ht="12" customHeight="1">
      <c r="A171" s="318"/>
      <c r="B171" s="324"/>
      <c r="C171" s="320"/>
      <c r="D171" s="320"/>
      <c r="E171" s="320"/>
      <c r="F171" s="320"/>
      <c r="G171" s="320"/>
      <c r="H171" s="319"/>
      <c r="M171" s="321"/>
      <c r="N171" s="321"/>
      <c r="O171" s="322"/>
      <c r="P171" s="323"/>
      <c r="Q171" s="323"/>
    </row>
    <row r="172" spans="1:17" s="335" customFormat="1" ht="12" customHeight="1">
      <c r="A172" s="318"/>
      <c r="B172" s="324"/>
      <c r="C172" s="320"/>
      <c r="D172" s="320"/>
      <c r="E172" s="320"/>
      <c r="F172" s="320"/>
      <c r="G172" s="320"/>
      <c r="H172" s="319"/>
      <c r="M172" s="321"/>
      <c r="N172" s="321"/>
      <c r="O172" s="322"/>
      <c r="P172" s="323"/>
      <c r="Q172" s="323"/>
    </row>
    <row r="173" spans="1:17" s="335" customFormat="1" ht="12" customHeight="1">
      <c r="A173" s="318"/>
      <c r="B173" s="324"/>
      <c r="C173" s="320"/>
      <c r="D173" s="320"/>
      <c r="E173" s="320"/>
      <c r="F173" s="320"/>
      <c r="G173" s="320"/>
      <c r="H173" s="319"/>
      <c r="M173" s="321"/>
      <c r="N173" s="321"/>
      <c r="O173" s="322"/>
      <c r="P173" s="323"/>
      <c r="Q173" s="323"/>
    </row>
    <row r="174" spans="1:17" s="335" customFormat="1" ht="12" customHeight="1">
      <c r="A174" s="318"/>
      <c r="B174" s="324"/>
      <c r="C174" s="320"/>
      <c r="D174" s="320"/>
      <c r="E174" s="320"/>
      <c r="F174" s="320"/>
      <c r="G174" s="320"/>
      <c r="H174" s="319"/>
      <c r="M174" s="321"/>
      <c r="N174" s="321"/>
      <c r="O174" s="322"/>
      <c r="P174" s="323"/>
      <c r="Q174" s="323"/>
    </row>
  </sheetData>
  <mergeCells count="89">
    <mergeCell ref="I59:K59"/>
    <mergeCell ref="A59:A60"/>
    <mergeCell ref="B59:B60"/>
    <mergeCell ref="D77:E77"/>
    <mergeCell ref="A75:N75"/>
    <mergeCell ref="A77:B77"/>
    <mergeCell ref="A78:A79"/>
    <mergeCell ref="B78:B79"/>
    <mergeCell ref="C78:C79"/>
    <mergeCell ref="E78:E79"/>
    <mergeCell ref="F78:H78"/>
    <mergeCell ref="I78:K78"/>
    <mergeCell ref="L78:L79"/>
    <mergeCell ref="M78:N78"/>
    <mergeCell ref="P23:P36"/>
    <mergeCell ref="A37:N37"/>
    <mergeCell ref="F21:H21"/>
    <mergeCell ref="I21:K21"/>
    <mergeCell ref="L21:L22"/>
    <mergeCell ref="M21:N21"/>
    <mergeCell ref="O21:O22"/>
    <mergeCell ref="P21:P22"/>
    <mergeCell ref="A21:A22"/>
    <mergeCell ref="B21:B22"/>
    <mergeCell ref="C21:C22"/>
    <mergeCell ref="E21:E22"/>
    <mergeCell ref="C59:C60"/>
    <mergeCell ref="E59:E60"/>
    <mergeCell ref="F59:H59"/>
    <mergeCell ref="C40:C41"/>
    <mergeCell ref="E40:E41"/>
    <mergeCell ref="D59:D60"/>
    <mergeCell ref="P4:P17"/>
    <mergeCell ref="A2:A3"/>
    <mergeCell ref="B2:B3"/>
    <mergeCell ref="C2:C3"/>
    <mergeCell ref="E2:E3"/>
    <mergeCell ref="F2:H2"/>
    <mergeCell ref="P2:P3"/>
    <mergeCell ref="D2:D3"/>
    <mergeCell ref="I2:K2"/>
    <mergeCell ref="L2:L3"/>
    <mergeCell ref="M2:N2"/>
    <mergeCell ref="O2:O3"/>
    <mergeCell ref="D39:E39"/>
    <mergeCell ref="D40:D41"/>
    <mergeCell ref="A20:B20"/>
    <mergeCell ref="D1:E1"/>
    <mergeCell ref="D20:E20"/>
    <mergeCell ref="D21:D22"/>
    <mergeCell ref="O40:O41"/>
    <mergeCell ref="A1:B1"/>
    <mergeCell ref="A39:B39"/>
    <mergeCell ref="A40:A41"/>
    <mergeCell ref="B40:B41"/>
    <mergeCell ref="A18:N18"/>
    <mergeCell ref="P42:P55"/>
    <mergeCell ref="A56:N56"/>
    <mergeCell ref="A58:B58"/>
    <mergeCell ref="I40:K40"/>
    <mergeCell ref="L40:L41"/>
    <mergeCell ref="M40:N40"/>
    <mergeCell ref="D58:E58"/>
    <mergeCell ref="P40:P41"/>
    <mergeCell ref="F40:H40"/>
    <mergeCell ref="L59:L60"/>
    <mergeCell ref="M59:N59"/>
    <mergeCell ref="O59:O60"/>
    <mergeCell ref="P59:P60"/>
    <mergeCell ref="P61:P74"/>
    <mergeCell ref="O78:O79"/>
    <mergeCell ref="P78:P79"/>
    <mergeCell ref="P80:P93"/>
    <mergeCell ref="A94:N94"/>
    <mergeCell ref="A96:B96"/>
    <mergeCell ref="D96:E96"/>
    <mergeCell ref="D78:D79"/>
    <mergeCell ref="P99:P112"/>
    <mergeCell ref="A113:N113"/>
    <mergeCell ref="I97:K97"/>
    <mergeCell ref="L97:L98"/>
    <mergeCell ref="M97:N97"/>
    <mergeCell ref="O97:O98"/>
    <mergeCell ref="P97:P98"/>
    <mergeCell ref="A97:A98"/>
    <mergeCell ref="B97:B98"/>
    <mergeCell ref="C97:C98"/>
    <mergeCell ref="E97:E98"/>
    <mergeCell ref="F97:H97"/>
  </mergeCells>
  <phoneticPr fontId="2" type="noConversion"/>
  <dataValidations count="1">
    <dataValidation type="list" allowBlank="1" showInputMessage="1" showErrorMessage="1" sqref="M99:N112 M80:N93 M42:N55 M23:N36 M4:N17 M61:N74">
      <formula1>$AA$6:$AA$7</formula1>
    </dataValidation>
  </dataValidations>
  <pageMargins left="0.74803149606299213" right="0.74803149606299213" top="0.78740157480314965" bottom="0.78740157480314965" header="0.51181102362204722" footer="0.51181102362204722"/>
  <pageSetup paperSize="9" scale="61" fitToHeight="3" orientation="landscape" r:id="rId1"/>
  <headerFooter alignWithMargins="0"/>
  <rowBreaks count="5" manualBreakCount="5">
    <brk id="19" max="15" man="1"/>
    <brk id="38" max="15" man="1"/>
    <brk id="57" max="15" man="1"/>
    <brk id="76" max="15" man="1"/>
    <brk id="95" max="15" man="1"/>
  </row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indexed="43"/>
  </sheetPr>
  <dimension ref="A1:AA174"/>
  <sheetViews>
    <sheetView view="pageBreakPreview" topLeftCell="A58" zoomScaleNormal="85" zoomScaleSheetLayoutView="100" workbookViewId="0">
      <pane xSplit="3" topLeftCell="D1" activePane="topRight" state="frozen"/>
      <selection activeCell="I42" sqref="I42"/>
      <selection pane="topRight" activeCell="F108" sqref="F108"/>
    </sheetView>
  </sheetViews>
  <sheetFormatPr defaultRowHeight="12" customHeight="1"/>
  <cols>
    <col min="1" max="1" width="4.5546875" style="318" customWidth="1"/>
    <col min="2" max="2" width="38.6640625" style="324" customWidth="1"/>
    <col min="3" max="3" width="26.77734375" style="324" customWidth="1"/>
    <col min="4" max="4" width="13" style="324" customWidth="1"/>
    <col min="5" max="5" width="10.5546875" style="324" customWidth="1"/>
    <col min="6" max="7" width="10.33203125" style="324" bestFit="1" customWidth="1"/>
    <col min="8" max="8" width="6.21875" style="325" bestFit="1" customWidth="1"/>
    <col min="9" max="9" width="10.33203125" style="336" bestFit="1" customWidth="1"/>
    <col min="10" max="10" width="10.109375" style="336" bestFit="1" customWidth="1"/>
    <col min="11" max="11" width="6.21875" style="335" bestFit="1" customWidth="1"/>
    <col min="12" max="12" width="7.77734375" style="335" customWidth="1"/>
    <col min="13" max="14" width="8.77734375" style="321" customWidth="1"/>
    <col min="15" max="15" width="8.33203125" style="322" customWidth="1"/>
    <col min="16" max="16" width="5.33203125" style="323" customWidth="1"/>
    <col min="17" max="16384" width="8.88671875" style="323"/>
  </cols>
  <sheetData>
    <row r="1" spans="1:27" s="343" customFormat="1" ht="30" customHeight="1" thickBot="1">
      <c r="A1" s="995" t="str">
        <f>배점기준!$C$3</f>
        <v>대기관리</v>
      </c>
      <c r="B1" s="996"/>
      <c r="C1" s="337" t="s">
        <v>233</v>
      </c>
      <c r="D1" s="1019" t="s">
        <v>255</v>
      </c>
      <c r="E1" s="1020"/>
      <c r="F1" s="349"/>
      <c r="G1" s="339"/>
      <c r="H1" s="339"/>
      <c r="I1" s="340"/>
      <c r="J1" s="340"/>
      <c r="K1" s="340"/>
      <c r="L1" s="340"/>
      <c r="M1" s="340"/>
      <c r="N1" s="340"/>
      <c r="O1" s="341"/>
      <c r="P1" s="342"/>
    </row>
    <row r="2" spans="1:27" s="286" customFormat="1" ht="23.25" customHeight="1">
      <c r="A2" s="1013" t="s">
        <v>6</v>
      </c>
      <c r="B2" s="1015" t="s">
        <v>7</v>
      </c>
      <c r="C2" s="1017" t="s">
        <v>8</v>
      </c>
      <c r="D2" s="1017" t="s">
        <v>542</v>
      </c>
      <c r="E2" s="980" t="s">
        <v>253</v>
      </c>
      <c r="F2" s="991" t="s">
        <v>384</v>
      </c>
      <c r="G2" s="992"/>
      <c r="H2" s="992"/>
      <c r="I2" s="1000" t="s">
        <v>385</v>
      </c>
      <c r="J2" s="1005"/>
      <c r="K2" s="1001"/>
      <c r="L2" s="1009" t="s">
        <v>217</v>
      </c>
      <c r="M2" s="1011" t="s">
        <v>214</v>
      </c>
      <c r="N2" s="1012"/>
      <c r="O2" s="1009" t="s">
        <v>3</v>
      </c>
      <c r="P2" s="982" t="s">
        <v>9</v>
      </c>
    </row>
    <row r="3" spans="1:27" s="286" customFormat="1" ht="29.25" customHeight="1">
      <c r="A3" s="1014"/>
      <c r="B3" s="1016"/>
      <c r="C3" s="1018"/>
      <c r="D3" s="1018"/>
      <c r="E3" s="981"/>
      <c r="F3" s="287" t="s">
        <v>387</v>
      </c>
      <c r="G3" s="287" t="s">
        <v>388</v>
      </c>
      <c r="H3" s="287" t="s">
        <v>179</v>
      </c>
      <c r="I3" s="287" t="s">
        <v>389</v>
      </c>
      <c r="J3" s="287" t="s">
        <v>390</v>
      </c>
      <c r="K3" s="287" t="s">
        <v>180</v>
      </c>
      <c r="L3" s="1010"/>
      <c r="M3" s="6" t="s">
        <v>215</v>
      </c>
      <c r="N3" s="7" t="s">
        <v>216</v>
      </c>
      <c r="O3" s="1010"/>
      <c r="P3" s="983"/>
    </row>
    <row r="4" spans="1:27" s="296" customFormat="1" ht="24.95" customHeight="1">
      <c r="A4" s="8">
        <v>1</v>
      </c>
      <c r="B4" s="9" t="s">
        <v>172</v>
      </c>
      <c r="C4" s="9" t="s">
        <v>4</v>
      </c>
      <c r="D4" s="147"/>
      <c r="E4" s="10" t="s">
        <v>10</v>
      </c>
      <c r="F4" s="11">
        <v>34645</v>
      </c>
      <c r="G4" s="11">
        <v>36522</v>
      </c>
      <c r="H4" s="12">
        <f>IF(G4-F4&gt;=90,G4-F4,0)</f>
        <v>1877</v>
      </c>
      <c r="I4" s="11">
        <v>34645</v>
      </c>
      <c r="J4" s="11">
        <v>36522</v>
      </c>
      <c r="K4" s="12">
        <f>IF(J4-I4&gt;=30,J4-I4,0)</f>
        <v>1877</v>
      </c>
      <c r="L4" s="13">
        <f>K4/H4</f>
        <v>1</v>
      </c>
      <c r="M4" s="14">
        <v>1</v>
      </c>
      <c r="N4" s="15">
        <v>1</v>
      </c>
      <c r="O4" s="16">
        <f>ROUND(L4*M4*N4,2)</f>
        <v>1</v>
      </c>
      <c r="P4" s="984"/>
    </row>
    <row r="5" spans="1:27" s="298" customFormat="1" ht="24.95" customHeight="1">
      <c r="A5" s="17">
        <v>2</v>
      </c>
      <c r="B5" s="9" t="s">
        <v>173</v>
      </c>
      <c r="C5" s="9" t="s">
        <v>4</v>
      </c>
      <c r="D5" s="147"/>
      <c r="E5" s="10" t="s">
        <v>10</v>
      </c>
      <c r="F5" s="11">
        <v>34692</v>
      </c>
      <c r="G5" s="11">
        <v>37063</v>
      </c>
      <c r="H5" s="12">
        <f t="shared" ref="H5:H17" si="0">IF(G5-F5&gt;=90,G5-F5,0)</f>
        <v>2371</v>
      </c>
      <c r="I5" s="11">
        <v>34692</v>
      </c>
      <c r="J5" s="11">
        <v>36525</v>
      </c>
      <c r="K5" s="12">
        <f t="shared" ref="K5:K17" si="1">IF(J5-I5&gt;=30,J5-I5,0)</f>
        <v>1833</v>
      </c>
      <c r="L5" s="13">
        <f t="shared" ref="L5:L17" si="2">K5/H5</f>
        <v>0.7730915225643189</v>
      </c>
      <c r="M5" s="14">
        <v>0.6</v>
      </c>
      <c r="N5" s="15">
        <v>0.6</v>
      </c>
      <c r="O5" s="16">
        <f t="shared" ref="O5:O17" si="3">ROUND(L5*M5*N5,2)</f>
        <v>0.28000000000000003</v>
      </c>
      <c r="P5" s="985"/>
      <c r="AA5" s="299" t="s">
        <v>251</v>
      </c>
    </row>
    <row r="6" spans="1:27" s="298" customFormat="1" ht="24.95" customHeight="1">
      <c r="A6" s="17">
        <v>3</v>
      </c>
      <c r="B6" s="9" t="s">
        <v>174</v>
      </c>
      <c r="C6" s="9" t="s">
        <v>4</v>
      </c>
      <c r="D6" s="147"/>
      <c r="E6" s="10" t="s">
        <v>10</v>
      </c>
      <c r="F6" s="11">
        <v>34967</v>
      </c>
      <c r="G6" s="11">
        <v>36871</v>
      </c>
      <c r="H6" s="12">
        <f t="shared" si="0"/>
        <v>1904</v>
      </c>
      <c r="I6" s="11">
        <v>34967</v>
      </c>
      <c r="J6" s="11">
        <v>36871</v>
      </c>
      <c r="K6" s="12">
        <f t="shared" si="1"/>
        <v>1904</v>
      </c>
      <c r="L6" s="13">
        <f t="shared" si="2"/>
        <v>1</v>
      </c>
      <c r="M6" s="14">
        <v>1</v>
      </c>
      <c r="N6" s="15">
        <v>1</v>
      </c>
      <c r="O6" s="16">
        <f t="shared" si="3"/>
        <v>1</v>
      </c>
      <c r="P6" s="985"/>
      <c r="AA6" s="344">
        <v>1</v>
      </c>
    </row>
    <row r="7" spans="1:27" s="298" customFormat="1" ht="24.95" customHeight="1">
      <c r="A7" s="17">
        <v>4</v>
      </c>
      <c r="B7" s="9" t="s">
        <v>175</v>
      </c>
      <c r="C7" s="9" t="s">
        <v>4</v>
      </c>
      <c r="D7" s="147"/>
      <c r="E7" s="10" t="s">
        <v>10</v>
      </c>
      <c r="F7" s="11">
        <v>36194</v>
      </c>
      <c r="G7" s="11">
        <v>37008</v>
      </c>
      <c r="H7" s="12">
        <f t="shared" si="0"/>
        <v>814</v>
      </c>
      <c r="I7" s="11">
        <v>36194</v>
      </c>
      <c r="J7" s="11">
        <v>37008</v>
      </c>
      <c r="K7" s="12">
        <f t="shared" si="1"/>
        <v>814</v>
      </c>
      <c r="L7" s="13">
        <f t="shared" si="2"/>
        <v>1</v>
      </c>
      <c r="M7" s="14">
        <v>0.6</v>
      </c>
      <c r="N7" s="15">
        <v>1</v>
      </c>
      <c r="O7" s="16">
        <f t="shared" si="3"/>
        <v>0.6</v>
      </c>
      <c r="P7" s="985"/>
      <c r="AA7" s="344">
        <v>0.6</v>
      </c>
    </row>
    <row r="8" spans="1:27" s="298" customFormat="1" ht="24.95" customHeight="1">
      <c r="A8" s="17">
        <v>5</v>
      </c>
      <c r="B8" s="9" t="s">
        <v>11</v>
      </c>
      <c r="C8" s="9" t="s">
        <v>4</v>
      </c>
      <c r="D8" s="147"/>
      <c r="E8" s="10" t="s">
        <v>10</v>
      </c>
      <c r="F8" s="11">
        <v>37369</v>
      </c>
      <c r="G8" s="11">
        <v>37954</v>
      </c>
      <c r="H8" s="12">
        <f t="shared" si="0"/>
        <v>585</v>
      </c>
      <c r="I8" s="11">
        <v>37369</v>
      </c>
      <c r="J8" s="11">
        <v>37954</v>
      </c>
      <c r="K8" s="12">
        <f t="shared" si="1"/>
        <v>585</v>
      </c>
      <c r="L8" s="13">
        <f t="shared" si="2"/>
        <v>1</v>
      </c>
      <c r="M8" s="14">
        <v>1</v>
      </c>
      <c r="N8" s="15">
        <v>0.6</v>
      </c>
      <c r="O8" s="16">
        <f t="shared" si="3"/>
        <v>0.6</v>
      </c>
      <c r="P8" s="985"/>
    </row>
    <row r="9" spans="1:27" s="296" customFormat="1" ht="24.95" customHeight="1">
      <c r="A9" s="17">
        <v>7</v>
      </c>
      <c r="B9" s="9" t="s">
        <v>176</v>
      </c>
      <c r="C9" s="9" t="s">
        <v>4</v>
      </c>
      <c r="D9" s="147"/>
      <c r="E9" s="10" t="s">
        <v>10</v>
      </c>
      <c r="F9" s="11">
        <v>37673</v>
      </c>
      <c r="G9" s="11">
        <v>38929</v>
      </c>
      <c r="H9" s="12">
        <f t="shared" si="0"/>
        <v>1256</v>
      </c>
      <c r="I9" s="11">
        <v>37673</v>
      </c>
      <c r="J9" s="11">
        <v>38929</v>
      </c>
      <c r="K9" s="12">
        <f t="shared" si="1"/>
        <v>1256</v>
      </c>
      <c r="L9" s="13">
        <f t="shared" si="2"/>
        <v>1</v>
      </c>
      <c r="M9" s="14">
        <v>0.6</v>
      </c>
      <c r="N9" s="15">
        <v>0.6</v>
      </c>
      <c r="O9" s="16">
        <f t="shared" si="3"/>
        <v>0.36</v>
      </c>
      <c r="P9" s="985"/>
    </row>
    <row r="10" spans="1:27" s="296" customFormat="1" ht="24.95" customHeight="1">
      <c r="A10" s="17">
        <v>8</v>
      </c>
      <c r="B10" s="9" t="s">
        <v>177</v>
      </c>
      <c r="C10" s="9" t="s">
        <v>4</v>
      </c>
      <c r="D10" s="147"/>
      <c r="E10" s="10" t="s">
        <v>10</v>
      </c>
      <c r="F10" s="11">
        <v>38240</v>
      </c>
      <c r="G10" s="11">
        <v>39562</v>
      </c>
      <c r="H10" s="12">
        <f t="shared" si="0"/>
        <v>1322</v>
      </c>
      <c r="I10" s="11">
        <v>38240</v>
      </c>
      <c r="J10" s="11">
        <v>39562</v>
      </c>
      <c r="K10" s="12">
        <f t="shared" si="1"/>
        <v>1322</v>
      </c>
      <c r="L10" s="13">
        <f t="shared" si="2"/>
        <v>1</v>
      </c>
      <c r="M10" s="14">
        <v>1</v>
      </c>
      <c r="N10" s="15">
        <v>1</v>
      </c>
      <c r="O10" s="16">
        <f t="shared" si="3"/>
        <v>1</v>
      </c>
      <c r="P10" s="985"/>
    </row>
    <row r="11" spans="1:27" s="296" customFormat="1" ht="24.95" customHeight="1">
      <c r="A11" s="17">
        <v>9</v>
      </c>
      <c r="B11" s="9" t="s">
        <v>12</v>
      </c>
      <c r="C11" s="9" t="s">
        <v>4</v>
      </c>
      <c r="D11" s="147"/>
      <c r="E11" s="10" t="s">
        <v>10</v>
      </c>
      <c r="F11" s="11">
        <v>38078</v>
      </c>
      <c r="G11" s="11">
        <v>38660</v>
      </c>
      <c r="H11" s="12">
        <f t="shared" si="0"/>
        <v>582</v>
      </c>
      <c r="I11" s="11">
        <v>38078</v>
      </c>
      <c r="J11" s="11">
        <v>38660</v>
      </c>
      <c r="K11" s="12">
        <f t="shared" si="1"/>
        <v>582</v>
      </c>
      <c r="L11" s="13">
        <f t="shared" si="2"/>
        <v>1</v>
      </c>
      <c r="M11" s="14">
        <v>0.6</v>
      </c>
      <c r="N11" s="15">
        <v>1</v>
      </c>
      <c r="O11" s="16">
        <f t="shared" si="3"/>
        <v>0.6</v>
      </c>
      <c r="P11" s="985"/>
    </row>
    <row r="12" spans="1:27" s="296" customFormat="1" ht="24.95" customHeight="1">
      <c r="A12" s="17">
        <v>10</v>
      </c>
      <c r="B12" s="9" t="s">
        <v>13</v>
      </c>
      <c r="C12" s="9" t="s">
        <v>4</v>
      </c>
      <c r="D12" s="147"/>
      <c r="E12" s="10" t="s">
        <v>10</v>
      </c>
      <c r="F12" s="18">
        <v>38127</v>
      </c>
      <c r="G12" s="18">
        <v>38717</v>
      </c>
      <c r="H12" s="12">
        <f t="shared" si="0"/>
        <v>590</v>
      </c>
      <c r="I12" s="11">
        <v>38127</v>
      </c>
      <c r="J12" s="11">
        <v>38717</v>
      </c>
      <c r="K12" s="12">
        <f t="shared" si="1"/>
        <v>590</v>
      </c>
      <c r="L12" s="13">
        <f t="shared" si="2"/>
        <v>1</v>
      </c>
      <c r="M12" s="14">
        <v>1</v>
      </c>
      <c r="N12" s="15">
        <v>0.6</v>
      </c>
      <c r="O12" s="16">
        <f t="shared" si="3"/>
        <v>0.6</v>
      </c>
      <c r="P12" s="985"/>
    </row>
    <row r="13" spans="1:27" s="296" customFormat="1" ht="24.95" customHeight="1">
      <c r="A13" s="17">
        <v>11</v>
      </c>
      <c r="B13" s="9" t="s">
        <v>14</v>
      </c>
      <c r="C13" s="9" t="s">
        <v>4</v>
      </c>
      <c r="D13" s="147"/>
      <c r="E13" s="10" t="s">
        <v>10</v>
      </c>
      <c r="F13" s="18">
        <v>38098</v>
      </c>
      <c r="G13" s="11">
        <v>38717</v>
      </c>
      <c r="H13" s="12">
        <f t="shared" si="0"/>
        <v>619</v>
      </c>
      <c r="I13" s="11">
        <v>38098</v>
      </c>
      <c r="J13" s="11">
        <v>38656</v>
      </c>
      <c r="K13" s="12">
        <f t="shared" si="1"/>
        <v>558</v>
      </c>
      <c r="L13" s="13">
        <f t="shared" si="2"/>
        <v>0.90145395799676897</v>
      </c>
      <c r="M13" s="14">
        <v>0.6</v>
      </c>
      <c r="N13" s="15">
        <v>0.6</v>
      </c>
      <c r="O13" s="16">
        <f t="shared" si="3"/>
        <v>0.32</v>
      </c>
      <c r="P13" s="985"/>
    </row>
    <row r="14" spans="1:27" s="296" customFormat="1" ht="24.95" customHeight="1">
      <c r="A14" s="17">
        <v>12</v>
      </c>
      <c r="B14" s="9" t="s">
        <v>15</v>
      </c>
      <c r="C14" s="9" t="s">
        <v>4</v>
      </c>
      <c r="D14" s="147"/>
      <c r="E14" s="10" t="s">
        <v>10</v>
      </c>
      <c r="F14" s="18">
        <v>37376</v>
      </c>
      <c r="G14" s="18">
        <v>38730</v>
      </c>
      <c r="H14" s="12">
        <f t="shared" si="0"/>
        <v>1354</v>
      </c>
      <c r="I14" s="11">
        <v>38472</v>
      </c>
      <c r="J14" s="11">
        <v>38730</v>
      </c>
      <c r="K14" s="12">
        <f t="shared" si="1"/>
        <v>258</v>
      </c>
      <c r="L14" s="13">
        <f t="shared" si="2"/>
        <v>0.19054652880354506</v>
      </c>
      <c r="M14" s="14">
        <v>1</v>
      </c>
      <c r="N14" s="15">
        <v>1</v>
      </c>
      <c r="O14" s="16">
        <f t="shared" si="3"/>
        <v>0.19</v>
      </c>
      <c r="P14" s="985"/>
    </row>
    <row r="15" spans="1:27" s="296" customFormat="1" ht="24.95" customHeight="1">
      <c r="A15" s="17">
        <v>13</v>
      </c>
      <c r="B15" s="9" t="s">
        <v>16</v>
      </c>
      <c r="C15" s="9" t="s">
        <v>4</v>
      </c>
      <c r="D15" s="147"/>
      <c r="E15" s="10" t="s">
        <v>10</v>
      </c>
      <c r="F15" s="18">
        <v>38750</v>
      </c>
      <c r="G15" s="11">
        <v>39082</v>
      </c>
      <c r="H15" s="12">
        <f t="shared" si="0"/>
        <v>332</v>
      </c>
      <c r="I15" s="11">
        <v>38750</v>
      </c>
      <c r="J15" s="11">
        <v>39082</v>
      </c>
      <c r="K15" s="12">
        <f t="shared" si="1"/>
        <v>332</v>
      </c>
      <c r="L15" s="13">
        <f t="shared" si="2"/>
        <v>1</v>
      </c>
      <c r="M15" s="14">
        <v>0.6</v>
      </c>
      <c r="N15" s="15">
        <v>1</v>
      </c>
      <c r="O15" s="16">
        <f t="shared" si="3"/>
        <v>0.6</v>
      </c>
      <c r="P15" s="985"/>
    </row>
    <row r="16" spans="1:27" s="296" customFormat="1" ht="24.95" customHeight="1">
      <c r="A16" s="17">
        <v>15</v>
      </c>
      <c r="B16" s="9" t="s">
        <v>178</v>
      </c>
      <c r="C16" s="9" t="s">
        <v>4</v>
      </c>
      <c r="D16" s="147"/>
      <c r="E16" s="10" t="s">
        <v>10</v>
      </c>
      <c r="F16" s="18">
        <v>37435</v>
      </c>
      <c r="G16" s="11">
        <v>39414</v>
      </c>
      <c r="H16" s="12">
        <f t="shared" si="0"/>
        <v>1979</v>
      </c>
      <c r="I16" s="11">
        <v>37435</v>
      </c>
      <c r="J16" s="11">
        <v>39414</v>
      </c>
      <c r="K16" s="12">
        <f t="shared" si="1"/>
        <v>1979</v>
      </c>
      <c r="L16" s="13">
        <f t="shared" si="2"/>
        <v>1</v>
      </c>
      <c r="M16" s="14">
        <v>1</v>
      </c>
      <c r="N16" s="15">
        <v>1</v>
      </c>
      <c r="O16" s="16">
        <f t="shared" si="3"/>
        <v>1</v>
      </c>
      <c r="P16" s="985"/>
    </row>
    <row r="17" spans="1:16" s="296" customFormat="1" ht="24.95" customHeight="1">
      <c r="A17" s="17">
        <v>16</v>
      </c>
      <c r="B17" s="9" t="s">
        <v>17</v>
      </c>
      <c r="C17" s="9" t="s">
        <v>4</v>
      </c>
      <c r="D17" s="147"/>
      <c r="E17" s="10" t="s">
        <v>10</v>
      </c>
      <c r="F17" s="18">
        <v>38834</v>
      </c>
      <c r="G17" s="18">
        <v>39482</v>
      </c>
      <c r="H17" s="12">
        <f t="shared" si="0"/>
        <v>648</v>
      </c>
      <c r="I17" s="11">
        <v>38834</v>
      </c>
      <c r="J17" s="11">
        <v>39482</v>
      </c>
      <c r="K17" s="12">
        <f t="shared" si="1"/>
        <v>648</v>
      </c>
      <c r="L17" s="13">
        <f t="shared" si="2"/>
        <v>1</v>
      </c>
      <c r="M17" s="14">
        <v>1</v>
      </c>
      <c r="N17" s="15">
        <v>1</v>
      </c>
      <c r="O17" s="16">
        <f t="shared" si="3"/>
        <v>1</v>
      </c>
      <c r="P17" s="985"/>
    </row>
    <row r="18" spans="1:16" s="298" customFormat="1" ht="24.95" customHeight="1" thickBot="1">
      <c r="A18" s="1006" t="s">
        <v>5</v>
      </c>
      <c r="B18" s="1007"/>
      <c r="C18" s="1007"/>
      <c r="D18" s="1007"/>
      <c r="E18" s="1007"/>
      <c r="F18" s="1007"/>
      <c r="G18" s="1007"/>
      <c r="H18" s="1007"/>
      <c r="I18" s="1007"/>
      <c r="J18" s="1007"/>
      <c r="K18" s="1007"/>
      <c r="L18" s="1007"/>
      <c r="M18" s="1007"/>
      <c r="N18" s="1008"/>
      <c r="O18" s="19">
        <f>SUM(O4:O17)</f>
        <v>9.1499999999999986</v>
      </c>
      <c r="P18" s="112"/>
    </row>
    <row r="19" spans="1:16" s="298" customFormat="1" ht="24.95" customHeight="1">
      <c r="A19" s="345"/>
      <c r="B19" s="345"/>
      <c r="C19" s="345"/>
      <c r="D19" s="345"/>
      <c r="E19" s="345"/>
      <c r="F19" s="345"/>
      <c r="G19" s="345"/>
      <c r="H19" s="345"/>
      <c r="I19" s="345"/>
      <c r="J19" s="345"/>
      <c r="K19" s="345"/>
      <c r="L19" s="345"/>
      <c r="M19" s="345"/>
      <c r="N19" s="345"/>
      <c r="O19" s="346"/>
    </row>
    <row r="20" spans="1:16" s="343" customFormat="1" ht="30" customHeight="1" thickBot="1">
      <c r="A20" s="1021" t="str">
        <f>배점기준!C4</f>
        <v>수질관리</v>
      </c>
      <c r="B20" s="1022"/>
      <c r="C20" s="337" t="s">
        <v>233</v>
      </c>
      <c r="D20" s="1019" t="s">
        <v>255</v>
      </c>
      <c r="E20" s="1020"/>
      <c r="F20" s="349"/>
      <c r="G20" s="339"/>
      <c r="H20" s="339"/>
      <c r="I20" s="340"/>
      <c r="J20" s="340"/>
      <c r="K20" s="340"/>
      <c r="L20" s="340"/>
      <c r="M20" s="340"/>
      <c r="N20" s="340"/>
      <c r="O20" s="341"/>
      <c r="P20" s="342"/>
    </row>
    <row r="21" spans="1:16" s="286" customFormat="1" ht="24.95" customHeight="1">
      <c r="A21" s="1013" t="s">
        <v>6</v>
      </c>
      <c r="B21" s="1015" t="s">
        <v>7</v>
      </c>
      <c r="C21" s="1017" t="s">
        <v>8</v>
      </c>
      <c r="D21" s="1017" t="s">
        <v>542</v>
      </c>
      <c r="E21" s="980" t="s">
        <v>253</v>
      </c>
      <c r="F21" s="991" t="s">
        <v>384</v>
      </c>
      <c r="G21" s="992"/>
      <c r="H21" s="992"/>
      <c r="I21" s="1000" t="s">
        <v>385</v>
      </c>
      <c r="J21" s="1005"/>
      <c r="K21" s="1001"/>
      <c r="L21" s="1009" t="s">
        <v>217</v>
      </c>
      <c r="M21" s="1011" t="s">
        <v>214</v>
      </c>
      <c r="N21" s="1012"/>
      <c r="O21" s="1009" t="s">
        <v>3</v>
      </c>
      <c r="P21" s="982" t="s">
        <v>9</v>
      </c>
    </row>
    <row r="22" spans="1:16" s="286" customFormat="1" ht="24.95" customHeight="1">
      <c r="A22" s="1014"/>
      <c r="B22" s="1016"/>
      <c r="C22" s="1018"/>
      <c r="D22" s="1018"/>
      <c r="E22" s="981"/>
      <c r="F22" s="287" t="s">
        <v>387</v>
      </c>
      <c r="G22" s="287" t="s">
        <v>388</v>
      </c>
      <c r="H22" s="287" t="s">
        <v>179</v>
      </c>
      <c r="I22" s="287" t="s">
        <v>389</v>
      </c>
      <c r="J22" s="287" t="s">
        <v>390</v>
      </c>
      <c r="K22" s="287" t="s">
        <v>180</v>
      </c>
      <c r="L22" s="1010"/>
      <c r="M22" s="6" t="s">
        <v>215</v>
      </c>
      <c r="N22" s="7" t="s">
        <v>216</v>
      </c>
      <c r="O22" s="1010"/>
      <c r="P22" s="983"/>
    </row>
    <row r="23" spans="1:16" s="296" customFormat="1" ht="24.95" customHeight="1">
      <c r="A23" s="8">
        <v>1</v>
      </c>
      <c r="B23" s="9" t="s">
        <v>172</v>
      </c>
      <c r="C23" s="9" t="s">
        <v>4</v>
      </c>
      <c r="D23" s="147"/>
      <c r="E23" s="10" t="s">
        <v>10</v>
      </c>
      <c r="F23" s="11">
        <v>34645</v>
      </c>
      <c r="G23" s="11">
        <v>36522</v>
      </c>
      <c r="H23" s="12">
        <f>IF(G23-F23&gt;=90,G23-F23,0)</f>
        <v>1877</v>
      </c>
      <c r="I23" s="11">
        <v>34645</v>
      </c>
      <c r="J23" s="11">
        <v>36522</v>
      </c>
      <c r="K23" s="12">
        <f>IF(J23-I23&gt;=30,J23-I23,0)</f>
        <v>1877</v>
      </c>
      <c r="L23" s="13">
        <f>K23/H23</f>
        <v>1</v>
      </c>
      <c r="M23" s="14">
        <v>1</v>
      </c>
      <c r="N23" s="15">
        <v>0.6</v>
      </c>
      <c r="O23" s="16">
        <f>ROUND(L23*M23*N23,2)</f>
        <v>0.6</v>
      </c>
      <c r="P23" s="984"/>
    </row>
    <row r="24" spans="1:16" s="298" customFormat="1" ht="24.95" customHeight="1">
      <c r="A24" s="17">
        <v>2</v>
      </c>
      <c r="B24" s="9" t="s">
        <v>173</v>
      </c>
      <c r="C24" s="9" t="s">
        <v>4</v>
      </c>
      <c r="D24" s="147"/>
      <c r="E24" s="10" t="s">
        <v>10</v>
      </c>
      <c r="F24" s="11">
        <v>34692</v>
      </c>
      <c r="G24" s="11">
        <v>37063</v>
      </c>
      <c r="H24" s="12">
        <f t="shared" ref="H24:H36" si="4">IF(G24-F24&gt;=90,G24-F24,0)</f>
        <v>2371</v>
      </c>
      <c r="I24" s="11">
        <v>34692</v>
      </c>
      <c r="J24" s="11">
        <v>36525</v>
      </c>
      <c r="K24" s="12">
        <f t="shared" ref="K24:K36" si="5">IF(J24-I24&gt;=30,J24-I24,0)</f>
        <v>1833</v>
      </c>
      <c r="L24" s="13">
        <f t="shared" ref="L24:L36" si="6">K24/H24</f>
        <v>0.7730915225643189</v>
      </c>
      <c r="M24" s="14">
        <v>0.6</v>
      </c>
      <c r="N24" s="15">
        <v>0.6</v>
      </c>
      <c r="O24" s="16">
        <f t="shared" ref="O24:O36" si="7">ROUND(L24*M24*N24,2)</f>
        <v>0.28000000000000003</v>
      </c>
      <c r="P24" s="985"/>
    </row>
    <row r="25" spans="1:16" s="298" customFormat="1" ht="24.95" customHeight="1">
      <c r="A25" s="17">
        <v>3</v>
      </c>
      <c r="B25" s="9" t="s">
        <v>174</v>
      </c>
      <c r="C25" s="9" t="s">
        <v>4</v>
      </c>
      <c r="D25" s="147"/>
      <c r="E25" s="10" t="s">
        <v>10</v>
      </c>
      <c r="F25" s="11">
        <v>34967</v>
      </c>
      <c r="G25" s="11">
        <v>36871</v>
      </c>
      <c r="H25" s="12">
        <f t="shared" si="4"/>
        <v>1904</v>
      </c>
      <c r="I25" s="11">
        <v>34967</v>
      </c>
      <c r="J25" s="11">
        <v>36871</v>
      </c>
      <c r="K25" s="12">
        <f t="shared" si="5"/>
        <v>1904</v>
      </c>
      <c r="L25" s="13">
        <f t="shared" si="6"/>
        <v>1</v>
      </c>
      <c r="M25" s="14">
        <v>1</v>
      </c>
      <c r="N25" s="15">
        <v>1</v>
      </c>
      <c r="O25" s="16">
        <f t="shared" si="7"/>
        <v>1</v>
      </c>
      <c r="P25" s="985"/>
    </row>
    <row r="26" spans="1:16" s="298" customFormat="1" ht="24.95" customHeight="1">
      <c r="A26" s="17">
        <v>4</v>
      </c>
      <c r="B26" s="9" t="s">
        <v>175</v>
      </c>
      <c r="C26" s="9" t="s">
        <v>4</v>
      </c>
      <c r="D26" s="147"/>
      <c r="E26" s="10" t="s">
        <v>10</v>
      </c>
      <c r="F26" s="11">
        <v>36194</v>
      </c>
      <c r="G26" s="11">
        <v>37008</v>
      </c>
      <c r="H26" s="12">
        <f t="shared" si="4"/>
        <v>814</v>
      </c>
      <c r="I26" s="11">
        <v>36194</v>
      </c>
      <c r="J26" s="11">
        <v>37008</v>
      </c>
      <c r="K26" s="12">
        <f t="shared" si="5"/>
        <v>814</v>
      </c>
      <c r="L26" s="13">
        <f t="shared" si="6"/>
        <v>1</v>
      </c>
      <c r="M26" s="14">
        <v>0.6</v>
      </c>
      <c r="N26" s="15">
        <v>1</v>
      </c>
      <c r="O26" s="16">
        <f t="shared" si="7"/>
        <v>0.6</v>
      </c>
      <c r="P26" s="985"/>
    </row>
    <row r="27" spans="1:16" s="298" customFormat="1" ht="24.95" customHeight="1">
      <c r="A27" s="17">
        <v>5</v>
      </c>
      <c r="B27" s="9" t="s">
        <v>11</v>
      </c>
      <c r="C27" s="9" t="s">
        <v>4</v>
      </c>
      <c r="D27" s="147"/>
      <c r="E27" s="10" t="s">
        <v>10</v>
      </c>
      <c r="F27" s="11">
        <v>37369</v>
      </c>
      <c r="G27" s="11">
        <v>37954</v>
      </c>
      <c r="H27" s="12">
        <f t="shared" si="4"/>
        <v>585</v>
      </c>
      <c r="I27" s="11">
        <v>37369</v>
      </c>
      <c r="J27" s="11">
        <v>37954</v>
      </c>
      <c r="K27" s="12">
        <f t="shared" si="5"/>
        <v>585</v>
      </c>
      <c r="L27" s="13">
        <f t="shared" si="6"/>
        <v>1</v>
      </c>
      <c r="M27" s="14">
        <v>1</v>
      </c>
      <c r="N27" s="15">
        <v>0.6</v>
      </c>
      <c r="O27" s="16">
        <f t="shared" si="7"/>
        <v>0.6</v>
      </c>
      <c r="P27" s="985"/>
    </row>
    <row r="28" spans="1:16" s="296" customFormat="1" ht="24.95" customHeight="1">
      <c r="A28" s="17">
        <v>7</v>
      </c>
      <c r="B28" s="9" t="s">
        <v>176</v>
      </c>
      <c r="C28" s="9" t="s">
        <v>4</v>
      </c>
      <c r="D28" s="147"/>
      <c r="E28" s="10" t="s">
        <v>10</v>
      </c>
      <c r="F28" s="11">
        <v>37673</v>
      </c>
      <c r="G28" s="11">
        <v>38929</v>
      </c>
      <c r="H28" s="12">
        <f t="shared" si="4"/>
        <v>1256</v>
      </c>
      <c r="I28" s="11">
        <v>37673</v>
      </c>
      <c r="J28" s="11">
        <v>38929</v>
      </c>
      <c r="K28" s="12">
        <f t="shared" si="5"/>
        <v>1256</v>
      </c>
      <c r="L28" s="13">
        <f t="shared" si="6"/>
        <v>1</v>
      </c>
      <c r="M28" s="14">
        <v>0.6</v>
      </c>
      <c r="N28" s="15">
        <v>0.6</v>
      </c>
      <c r="O28" s="16">
        <f t="shared" si="7"/>
        <v>0.36</v>
      </c>
      <c r="P28" s="985"/>
    </row>
    <row r="29" spans="1:16" s="296" customFormat="1" ht="24.95" customHeight="1">
      <c r="A29" s="17">
        <v>8</v>
      </c>
      <c r="B29" s="9" t="s">
        <v>177</v>
      </c>
      <c r="C29" s="9" t="s">
        <v>4</v>
      </c>
      <c r="D29" s="147"/>
      <c r="E29" s="10" t="s">
        <v>10</v>
      </c>
      <c r="F29" s="11">
        <v>38240</v>
      </c>
      <c r="G29" s="11">
        <v>39562</v>
      </c>
      <c r="H29" s="12">
        <f t="shared" si="4"/>
        <v>1322</v>
      </c>
      <c r="I29" s="11">
        <v>38240</v>
      </c>
      <c r="J29" s="11">
        <v>39562</v>
      </c>
      <c r="K29" s="12">
        <f t="shared" si="5"/>
        <v>1322</v>
      </c>
      <c r="L29" s="13">
        <f t="shared" si="6"/>
        <v>1</v>
      </c>
      <c r="M29" s="14">
        <v>1</v>
      </c>
      <c r="N29" s="15">
        <v>1</v>
      </c>
      <c r="O29" s="16">
        <f t="shared" si="7"/>
        <v>1</v>
      </c>
      <c r="P29" s="985"/>
    </row>
    <row r="30" spans="1:16" s="296" customFormat="1" ht="24.95" customHeight="1">
      <c r="A30" s="17">
        <v>9</v>
      </c>
      <c r="B30" s="9" t="s">
        <v>12</v>
      </c>
      <c r="C30" s="9" t="s">
        <v>4</v>
      </c>
      <c r="D30" s="147"/>
      <c r="E30" s="10" t="s">
        <v>10</v>
      </c>
      <c r="F30" s="11">
        <v>38078</v>
      </c>
      <c r="G30" s="11">
        <v>38660</v>
      </c>
      <c r="H30" s="12">
        <f t="shared" si="4"/>
        <v>582</v>
      </c>
      <c r="I30" s="11">
        <v>38078</v>
      </c>
      <c r="J30" s="11">
        <v>38660</v>
      </c>
      <c r="K30" s="12">
        <f t="shared" si="5"/>
        <v>582</v>
      </c>
      <c r="L30" s="13">
        <f t="shared" si="6"/>
        <v>1</v>
      </c>
      <c r="M30" s="14">
        <v>0.6</v>
      </c>
      <c r="N30" s="15">
        <v>1</v>
      </c>
      <c r="O30" s="16">
        <f t="shared" si="7"/>
        <v>0.6</v>
      </c>
      <c r="P30" s="985"/>
    </row>
    <row r="31" spans="1:16" s="296" customFormat="1" ht="24.95" customHeight="1">
      <c r="A31" s="17">
        <v>10</v>
      </c>
      <c r="B31" s="9" t="s">
        <v>13</v>
      </c>
      <c r="C31" s="9" t="s">
        <v>4</v>
      </c>
      <c r="D31" s="147"/>
      <c r="E31" s="10" t="s">
        <v>10</v>
      </c>
      <c r="F31" s="18">
        <v>38127</v>
      </c>
      <c r="G31" s="18">
        <v>38717</v>
      </c>
      <c r="H31" s="12">
        <f t="shared" si="4"/>
        <v>590</v>
      </c>
      <c r="I31" s="11">
        <v>38127</v>
      </c>
      <c r="J31" s="11">
        <v>38717</v>
      </c>
      <c r="K31" s="12">
        <f t="shared" si="5"/>
        <v>590</v>
      </c>
      <c r="L31" s="13">
        <f t="shared" si="6"/>
        <v>1</v>
      </c>
      <c r="M31" s="14">
        <v>1</v>
      </c>
      <c r="N31" s="15">
        <v>0.6</v>
      </c>
      <c r="O31" s="16">
        <f t="shared" si="7"/>
        <v>0.6</v>
      </c>
      <c r="P31" s="985"/>
    </row>
    <row r="32" spans="1:16" s="296" customFormat="1" ht="24.95" customHeight="1">
      <c r="A32" s="17">
        <v>11</v>
      </c>
      <c r="B32" s="9" t="s">
        <v>14</v>
      </c>
      <c r="C32" s="9" t="s">
        <v>4</v>
      </c>
      <c r="D32" s="147"/>
      <c r="E32" s="10" t="s">
        <v>10</v>
      </c>
      <c r="F32" s="18">
        <v>38098</v>
      </c>
      <c r="G32" s="11">
        <v>38717</v>
      </c>
      <c r="H32" s="12">
        <f t="shared" si="4"/>
        <v>619</v>
      </c>
      <c r="I32" s="11">
        <v>38098</v>
      </c>
      <c r="J32" s="11">
        <v>38656</v>
      </c>
      <c r="K32" s="12">
        <f t="shared" si="5"/>
        <v>558</v>
      </c>
      <c r="L32" s="13">
        <f t="shared" si="6"/>
        <v>0.90145395799676897</v>
      </c>
      <c r="M32" s="14">
        <v>0.6</v>
      </c>
      <c r="N32" s="15">
        <v>0.6</v>
      </c>
      <c r="O32" s="16">
        <f t="shared" si="7"/>
        <v>0.32</v>
      </c>
      <c r="P32" s="985"/>
    </row>
    <row r="33" spans="1:16" s="296" customFormat="1" ht="24.95" customHeight="1">
      <c r="A33" s="17">
        <v>12</v>
      </c>
      <c r="B33" s="9" t="s">
        <v>15</v>
      </c>
      <c r="C33" s="9" t="s">
        <v>4</v>
      </c>
      <c r="D33" s="147"/>
      <c r="E33" s="10" t="s">
        <v>10</v>
      </c>
      <c r="F33" s="18">
        <v>37376</v>
      </c>
      <c r="G33" s="18">
        <v>38730</v>
      </c>
      <c r="H33" s="12">
        <f t="shared" si="4"/>
        <v>1354</v>
      </c>
      <c r="I33" s="11">
        <v>38472</v>
      </c>
      <c r="J33" s="11">
        <v>38730</v>
      </c>
      <c r="K33" s="12">
        <f t="shared" si="5"/>
        <v>258</v>
      </c>
      <c r="L33" s="13">
        <f t="shared" si="6"/>
        <v>0.19054652880354506</v>
      </c>
      <c r="M33" s="14">
        <v>1</v>
      </c>
      <c r="N33" s="15">
        <v>1</v>
      </c>
      <c r="O33" s="16">
        <f t="shared" si="7"/>
        <v>0.19</v>
      </c>
      <c r="P33" s="985"/>
    </row>
    <row r="34" spans="1:16" s="296" customFormat="1" ht="24.95" customHeight="1">
      <c r="A34" s="17">
        <v>13</v>
      </c>
      <c r="B34" s="9" t="s">
        <v>16</v>
      </c>
      <c r="C34" s="9" t="s">
        <v>4</v>
      </c>
      <c r="D34" s="147"/>
      <c r="E34" s="10" t="s">
        <v>10</v>
      </c>
      <c r="F34" s="18">
        <v>38750</v>
      </c>
      <c r="G34" s="11">
        <v>39082</v>
      </c>
      <c r="H34" s="12">
        <f t="shared" si="4"/>
        <v>332</v>
      </c>
      <c r="I34" s="11">
        <v>38750</v>
      </c>
      <c r="J34" s="11">
        <v>39082</v>
      </c>
      <c r="K34" s="12">
        <f t="shared" si="5"/>
        <v>332</v>
      </c>
      <c r="L34" s="13">
        <f t="shared" si="6"/>
        <v>1</v>
      </c>
      <c r="M34" s="14">
        <v>0.6</v>
      </c>
      <c r="N34" s="15">
        <v>1</v>
      </c>
      <c r="O34" s="16">
        <f t="shared" si="7"/>
        <v>0.6</v>
      </c>
      <c r="P34" s="985"/>
    </row>
    <row r="35" spans="1:16" s="296" customFormat="1" ht="24.95" customHeight="1">
      <c r="A35" s="17">
        <v>15</v>
      </c>
      <c r="B35" s="9" t="s">
        <v>178</v>
      </c>
      <c r="C35" s="9" t="s">
        <v>4</v>
      </c>
      <c r="D35" s="147"/>
      <c r="E35" s="10" t="s">
        <v>10</v>
      </c>
      <c r="F35" s="18">
        <v>37435</v>
      </c>
      <c r="G35" s="11">
        <v>39414</v>
      </c>
      <c r="H35" s="12">
        <f t="shared" si="4"/>
        <v>1979</v>
      </c>
      <c r="I35" s="11">
        <v>37435</v>
      </c>
      <c r="J35" s="11">
        <v>39414</v>
      </c>
      <c r="K35" s="12">
        <f t="shared" si="5"/>
        <v>1979</v>
      </c>
      <c r="L35" s="13">
        <f t="shared" si="6"/>
        <v>1</v>
      </c>
      <c r="M35" s="14">
        <v>1</v>
      </c>
      <c r="N35" s="15">
        <v>1</v>
      </c>
      <c r="O35" s="16">
        <f t="shared" si="7"/>
        <v>1</v>
      </c>
      <c r="P35" s="985"/>
    </row>
    <row r="36" spans="1:16" s="296" customFormat="1" ht="24.95" customHeight="1">
      <c r="A36" s="17">
        <v>16</v>
      </c>
      <c r="B36" s="9" t="s">
        <v>17</v>
      </c>
      <c r="C36" s="9" t="s">
        <v>4</v>
      </c>
      <c r="D36" s="147"/>
      <c r="E36" s="10" t="s">
        <v>10</v>
      </c>
      <c r="F36" s="18">
        <v>38834</v>
      </c>
      <c r="G36" s="18">
        <v>39482</v>
      </c>
      <c r="H36" s="12">
        <f t="shared" si="4"/>
        <v>648</v>
      </c>
      <c r="I36" s="11">
        <v>38834</v>
      </c>
      <c r="J36" s="11">
        <v>39482</v>
      </c>
      <c r="K36" s="12">
        <f t="shared" si="5"/>
        <v>648</v>
      </c>
      <c r="L36" s="13">
        <f t="shared" si="6"/>
        <v>1</v>
      </c>
      <c r="M36" s="14">
        <v>1</v>
      </c>
      <c r="N36" s="15">
        <v>1</v>
      </c>
      <c r="O36" s="16">
        <f t="shared" si="7"/>
        <v>1</v>
      </c>
      <c r="P36" s="985"/>
    </row>
    <row r="37" spans="1:16" s="298" customFormat="1" ht="24.95" customHeight="1" thickBot="1">
      <c r="A37" s="1006" t="s">
        <v>5</v>
      </c>
      <c r="B37" s="1007"/>
      <c r="C37" s="1007"/>
      <c r="D37" s="1007"/>
      <c r="E37" s="1007"/>
      <c r="F37" s="1007"/>
      <c r="G37" s="1007"/>
      <c r="H37" s="1007"/>
      <c r="I37" s="1007"/>
      <c r="J37" s="1007"/>
      <c r="K37" s="1007"/>
      <c r="L37" s="1007"/>
      <c r="M37" s="1007"/>
      <c r="N37" s="1008"/>
      <c r="O37" s="19">
        <f>SUM(O23:O36)</f>
        <v>8.75</v>
      </c>
      <c r="P37" s="347"/>
    </row>
    <row r="38" spans="1:16" s="298" customFormat="1" ht="24.95" customHeight="1">
      <c r="A38" s="345"/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6"/>
    </row>
    <row r="39" spans="1:16" s="343" customFormat="1" ht="30" customHeight="1" thickBot="1">
      <c r="A39" s="995" t="str">
        <f>배점기준!C5</f>
        <v>소음진동</v>
      </c>
      <c r="B39" s="996"/>
      <c r="C39" s="337" t="s">
        <v>233</v>
      </c>
      <c r="D39" s="1019" t="s">
        <v>255</v>
      </c>
      <c r="E39" s="1020"/>
      <c r="F39" s="338"/>
      <c r="G39" s="339"/>
      <c r="H39" s="339"/>
      <c r="I39" s="340"/>
      <c r="J39" s="340"/>
      <c r="K39" s="340"/>
      <c r="L39" s="340"/>
      <c r="M39" s="340"/>
      <c r="N39" s="340"/>
      <c r="O39" s="341"/>
      <c r="P39" s="342"/>
    </row>
    <row r="40" spans="1:16" s="286" customFormat="1" ht="24.95" customHeight="1">
      <c r="A40" s="1013" t="s">
        <v>6</v>
      </c>
      <c r="B40" s="1015" t="s">
        <v>7</v>
      </c>
      <c r="C40" s="1017" t="s">
        <v>8</v>
      </c>
      <c r="D40" s="1017" t="s">
        <v>542</v>
      </c>
      <c r="E40" s="980" t="s">
        <v>253</v>
      </c>
      <c r="F40" s="991" t="s">
        <v>384</v>
      </c>
      <c r="G40" s="992"/>
      <c r="H40" s="992"/>
      <c r="I40" s="1000" t="s">
        <v>385</v>
      </c>
      <c r="J40" s="1005"/>
      <c r="K40" s="1001"/>
      <c r="L40" s="1009" t="s">
        <v>217</v>
      </c>
      <c r="M40" s="1011" t="s">
        <v>214</v>
      </c>
      <c r="N40" s="1012"/>
      <c r="O40" s="1009" t="s">
        <v>3</v>
      </c>
      <c r="P40" s="982" t="s">
        <v>9</v>
      </c>
    </row>
    <row r="41" spans="1:16" s="286" customFormat="1" ht="24.95" customHeight="1">
      <c r="A41" s="1014"/>
      <c r="B41" s="1016"/>
      <c r="C41" s="1018"/>
      <c r="D41" s="1018"/>
      <c r="E41" s="981"/>
      <c r="F41" s="287" t="s">
        <v>387</v>
      </c>
      <c r="G41" s="287" t="s">
        <v>388</v>
      </c>
      <c r="H41" s="287" t="s">
        <v>179</v>
      </c>
      <c r="I41" s="287" t="s">
        <v>389</v>
      </c>
      <c r="J41" s="287" t="s">
        <v>390</v>
      </c>
      <c r="K41" s="287" t="s">
        <v>180</v>
      </c>
      <c r="L41" s="1010"/>
      <c r="M41" s="6" t="s">
        <v>215</v>
      </c>
      <c r="N41" s="7" t="s">
        <v>216</v>
      </c>
      <c r="O41" s="1010"/>
      <c r="P41" s="983"/>
    </row>
    <row r="42" spans="1:16" s="296" customFormat="1" ht="24.95" customHeight="1">
      <c r="A42" s="8">
        <v>1</v>
      </c>
      <c r="B42" s="9" t="s">
        <v>172</v>
      </c>
      <c r="C42" s="9" t="s">
        <v>4</v>
      </c>
      <c r="D42" s="147"/>
      <c r="E42" s="10" t="s">
        <v>10</v>
      </c>
      <c r="F42" s="11">
        <v>34645</v>
      </c>
      <c r="G42" s="11">
        <v>36522</v>
      </c>
      <c r="H42" s="12">
        <f>IF(G42-F42&gt;=90,G42-F42,0)</f>
        <v>1877</v>
      </c>
      <c r="I42" s="11">
        <v>34645</v>
      </c>
      <c r="J42" s="11">
        <v>36522</v>
      </c>
      <c r="K42" s="12">
        <f>IF(J42-I42&gt;=30,J42-I42,0)</f>
        <v>1877</v>
      </c>
      <c r="L42" s="13">
        <f>K42/H42</f>
        <v>1</v>
      </c>
      <c r="M42" s="14">
        <v>1</v>
      </c>
      <c r="N42" s="15">
        <v>0.6</v>
      </c>
      <c r="O42" s="16">
        <f>ROUND(L42*M42*N42,2)</f>
        <v>0.6</v>
      </c>
      <c r="P42" s="984"/>
    </row>
    <row r="43" spans="1:16" s="298" customFormat="1" ht="24.95" customHeight="1">
      <c r="A43" s="17">
        <v>2</v>
      </c>
      <c r="B43" s="9" t="s">
        <v>173</v>
      </c>
      <c r="C43" s="9" t="s">
        <v>4</v>
      </c>
      <c r="D43" s="147"/>
      <c r="E43" s="10" t="s">
        <v>10</v>
      </c>
      <c r="F43" s="11">
        <v>34692</v>
      </c>
      <c r="G43" s="11">
        <v>37063</v>
      </c>
      <c r="H43" s="12">
        <f t="shared" ref="H43:H55" si="8">IF(G43-F43&gt;=90,G43-F43,0)</f>
        <v>2371</v>
      </c>
      <c r="I43" s="11">
        <v>34692</v>
      </c>
      <c r="J43" s="11">
        <v>36525</v>
      </c>
      <c r="K43" s="12">
        <f t="shared" ref="K43:K55" si="9">IF(J43-I43&gt;=30,J43-I43,0)</f>
        <v>1833</v>
      </c>
      <c r="L43" s="13">
        <f t="shared" ref="L43:L55" si="10">K43/H43</f>
        <v>0.7730915225643189</v>
      </c>
      <c r="M43" s="14">
        <v>0.6</v>
      </c>
      <c r="N43" s="15">
        <v>0.6</v>
      </c>
      <c r="O43" s="16">
        <f t="shared" ref="O43:O55" si="11">ROUND(L43*M43*N43,2)</f>
        <v>0.28000000000000003</v>
      </c>
      <c r="P43" s="985"/>
    </row>
    <row r="44" spans="1:16" s="298" customFormat="1" ht="24.95" customHeight="1">
      <c r="A44" s="17">
        <v>3</v>
      </c>
      <c r="B44" s="9" t="s">
        <v>174</v>
      </c>
      <c r="C44" s="9" t="s">
        <v>4</v>
      </c>
      <c r="D44" s="147"/>
      <c r="E44" s="10" t="s">
        <v>10</v>
      </c>
      <c r="F44" s="11">
        <v>34967</v>
      </c>
      <c r="G44" s="11">
        <v>36871</v>
      </c>
      <c r="H44" s="12">
        <f t="shared" si="8"/>
        <v>1904</v>
      </c>
      <c r="I44" s="11">
        <v>34967</v>
      </c>
      <c r="J44" s="11">
        <v>36871</v>
      </c>
      <c r="K44" s="12">
        <f t="shared" si="9"/>
        <v>1904</v>
      </c>
      <c r="L44" s="13">
        <f t="shared" si="10"/>
        <v>1</v>
      </c>
      <c r="M44" s="14">
        <v>1</v>
      </c>
      <c r="N44" s="15">
        <v>1</v>
      </c>
      <c r="O44" s="16">
        <f t="shared" si="11"/>
        <v>1</v>
      </c>
      <c r="P44" s="985"/>
    </row>
    <row r="45" spans="1:16" s="298" customFormat="1" ht="24.95" customHeight="1">
      <c r="A45" s="17">
        <v>4</v>
      </c>
      <c r="B45" s="9" t="s">
        <v>175</v>
      </c>
      <c r="C45" s="9" t="s">
        <v>4</v>
      </c>
      <c r="D45" s="147"/>
      <c r="E45" s="10" t="s">
        <v>10</v>
      </c>
      <c r="F45" s="11">
        <v>36194</v>
      </c>
      <c r="G45" s="11">
        <v>37008</v>
      </c>
      <c r="H45" s="12">
        <f t="shared" si="8"/>
        <v>814</v>
      </c>
      <c r="I45" s="11">
        <v>36194</v>
      </c>
      <c r="J45" s="11">
        <v>37008</v>
      </c>
      <c r="K45" s="12">
        <f t="shared" si="9"/>
        <v>814</v>
      </c>
      <c r="L45" s="13">
        <f t="shared" si="10"/>
        <v>1</v>
      </c>
      <c r="M45" s="14">
        <v>0.6</v>
      </c>
      <c r="N45" s="15">
        <v>1</v>
      </c>
      <c r="O45" s="16">
        <f t="shared" si="11"/>
        <v>0.6</v>
      </c>
      <c r="P45" s="985"/>
    </row>
    <row r="46" spans="1:16" s="298" customFormat="1" ht="24.95" customHeight="1">
      <c r="A46" s="17">
        <v>5</v>
      </c>
      <c r="B46" s="9" t="s">
        <v>11</v>
      </c>
      <c r="C46" s="9" t="s">
        <v>4</v>
      </c>
      <c r="D46" s="147"/>
      <c r="E46" s="10" t="s">
        <v>10</v>
      </c>
      <c r="F46" s="11">
        <v>37369</v>
      </c>
      <c r="G46" s="11">
        <v>37954</v>
      </c>
      <c r="H46" s="12">
        <f t="shared" si="8"/>
        <v>585</v>
      </c>
      <c r="I46" s="11">
        <v>37369</v>
      </c>
      <c r="J46" s="11">
        <v>37954</v>
      </c>
      <c r="K46" s="12">
        <f t="shared" si="9"/>
        <v>585</v>
      </c>
      <c r="L46" s="13">
        <f t="shared" si="10"/>
        <v>1</v>
      </c>
      <c r="M46" s="14">
        <v>1</v>
      </c>
      <c r="N46" s="15">
        <v>0.6</v>
      </c>
      <c r="O46" s="16">
        <f t="shared" si="11"/>
        <v>0.6</v>
      </c>
      <c r="P46" s="985"/>
    </row>
    <row r="47" spans="1:16" s="296" customFormat="1" ht="24.95" customHeight="1">
      <c r="A47" s="17">
        <v>7</v>
      </c>
      <c r="B47" s="9" t="s">
        <v>176</v>
      </c>
      <c r="C47" s="9" t="s">
        <v>4</v>
      </c>
      <c r="D47" s="147"/>
      <c r="E47" s="10" t="s">
        <v>10</v>
      </c>
      <c r="F47" s="11">
        <v>37673</v>
      </c>
      <c r="G47" s="11">
        <v>38929</v>
      </c>
      <c r="H47" s="12">
        <f t="shared" si="8"/>
        <v>1256</v>
      </c>
      <c r="I47" s="11">
        <v>37673</v>
      </c>
      <c r="J47" s="11">
        <v>38929</v>
      </c>
      <c r="K47" s="12">
        <f t="shared" si="9"/>
        <v>1256</v>
      </c>
      <c r="L47" s="13">
        <f t="shared" si="10"/>
        <v>1</v>
      </c>
      <c r="M47" s="14">
        <v>0.6</v>
      </c>
      <c r="N47" s="15">
        <v>0.6</v>
      </c>
      <c r="O47" s="16">
        <f t="shared" si="11"/>
        <v>0.36</v>
      </c>
      <c r="P47" s="985"/>
    </row>
    <row r="48" spans="1:16" s="296" customFormat="1" ht="24.95" customHeight="1">
      <c r="A48" s="17">
        <v>8</v>
      </c>
      <c r="B48" s="9" t="s">
        <v>177</v>
      </c>
      <c r="C48" s="9" t="s">
        <v>4</v>
      </c>
      <c r="D48" s="147"/>
      <c r="E48" s="10" t="s">
        <v>10</v>
      </c>
      <c r="F48" s="11">
        <v>38240</v>
      </c>
      <c r="G48" s="11">
        <v>39562</v>
      </c>
      <c r="H48" s="12">
        <f t="shared" si="8"/>
        <v>1322</v>
      </c>
      <c r="I48" s="11">
        <v>38240</v>
      </c>
      <c r="J48" s="11">
        <v>39562</v>
      </c>
      <c r="K48" s="12">
        <f t="shared" si="9"/>
        <v>1322</v>
      </c>
      <c r="L48" s="13">
        <f t="shared" si="10"/>
        <v>1</v>
      </c>
      <c r="M48" s="14">
        <v>1</v>
      </c>
      <c r="N48" s="15">
        <v>1</v>
      </c>
      <c r="O48" s="16">
        <f t="shared" si="11"/>
        <v>1</v>
      </c>
      <c r="P48" s="985"/>
    </row>
    <row r="49" spans="1:16" s="296" customFormat="1" ht="24.95" customHeight="1">
      <c r="A49" s="17">
        <v>9</v>
      </c>
      <c r="B49" s="9" t="s">
        <v>12</v>
      </c>
      <c r="C49" s="9" t="s">
        <v>4</v>
      </c>
      <c r="D49" s="147"/>
      <c r="E49" s="10" t="s">
        <v>10</v>
      </c>
      <c r="F49" s="11">
        <v>38078</v>
      </c>
      <c r="G49" s="11">
        <v>38660</v>
      </c>
      <c r="H49" s="12">
        <f t="shared" si="8"/>
        <v>582</v>
      </c>
      <c r="I49" s="11">
        <v>38078</v>
      </c>
      <c r="J49" s="11">
        <v>38660</v>
      </c>
      <c r="K49" s="12">
        <f t="shared" si="9"/>
        <v>582</v>
      </c>
      <c r="L49" s="13">
        <f t="shared" si="10"/>
        <v>1</v>
      </c>
      <c r="M49" s="14">
        <v>0.6</v>
      </c>
      <c r="N49" s="15">
        <v>1</v>
      </c>
      <c r="O49" s="16">
        <f t="shared" si="11"/>
        <v>0.6</v>
      </c>
      <c r="P49" s="985"/>
    </row>
    <row r="50" spans="1:16" s="296" customFormat="1" ht="24.95" customHeight="1">
      <c r="A50" s="17">
        <v>10</v>
      </c>
      <c r="B50" s="9" t="s">
        <v>13</v>
      </c>
      <c r="C50" s="9" t="s">
        <v>4</v>
      </c>
      <c r="D50" s="147"/>
      <c r="E50" s="10" t="s">
        <v>10</v>
      </c>
      <c r="F50" s="18">
        <v>38127</v>
      </c>
      <c r="G50" s="18">
        <v>38717</v>
      </c>
      <c r="H50" s="12">
        <f t="shared" si="8"/>
        <v>590</v>
      </c>
      <c r="I50" s="11">
        <v>38127</v>
      </c>
      <c r="J50" s="11">
        <v>38717</v>
      </c>
      <c r="K50" s="12">
        <f t="shared" si="9"/>
        <v>590</v>
      </c>
      <c r="L50" s="13">
        <f t="shared" si="10"/>
        <v>1</v>
      </c>
      <c r="M50" s="14">
        <v>1</v>
      </c>
      <c r="N50" s="15">
        <v>0.6</v>
      </c>
      <c r="O50" s="16">
        <f t="shared" si="11"/>
        <v>0.6</v>
      </c>
      <c r="P50" s="985"/>
    </row>
    <row r="51" spans="1:16" s="296" customFormat="1" ht="24.95" customHeight="1">
      <c r="A51" s="17">
        <v>11</v>
      </c>
      <c r="B51" s="9" t="s">
        <v>14</v>
      </c>
      <c r="C51" s="9" t="s">
        <v>4</v>
      </c>
      <c r="D51" s="147"/>
      <c r="E51" s="10" t="s">
        <v>10</v>
      </c>
      <c r="F51" s="18">
        <v>38098</v>
      </c>
      <c r="G51" s="11">
        <v>38717</v>
      </c>
      <c r="H51" s="12">
        <f t="shared" si="8"/>
        <v>619</v>
      </c>
      <c r="I51" s="11">
        <v>38098</v>
      </c>
      <c r="J51" s="11">
        <v>38656</v>
      </c>
      <c r="K51" s="12">
        <f t="shared" si="9"/>
        <v>558</v>
      </c>
      <c r="L51" s="13">
        <f t="shared" si="10"/>
        <v>0.90145395799676897</v>
      </c>
      <c r="M51" s="14">
        <v>0.6</v>
      </c>
      <c r="N51" s="15">
        <v>0.6</v>
      </c>
      <c r="O51" s="16">
        <f t="shared" si="11"/>
        <v>0.32</v>
      </c>
      <c r="P51" s="985"/>
    </row>
    <row r="52" spans="1:16" s="296" customFormat="1" ht="24.95" customHeight="1">
      <c r="A52" s="17">
        <v>12</v>
      </c>
      <c r="B52" s="9" t="s">
        <v>15</v>
      </c>
      <c r="C52" s="9" t="s">
        <v>4</v>
      </c>
      <c r="D52" s="147"/>
      <c r="E52" s="10" t="s">
        <v>10</v>
      </c>
      <c r="F52" s="18">
        <v>37376</v>
      </c>
      <c r="G52" s="18">
        <v>38730</v>
      </c>
      <c r="H52" s="12">
        <f t="shared" si="8"/>
        <v>1354</v>
      </c>
      <c r="I52" s="11">
        <v>38472</v>
      </c>
      <c r="J52" s="11">
        <v>38730</v>
      </c>
      <c r="K52" s="12">
        <f t="shared" si="9"/>
        <v>258</v>
      </c>
      <c r="L52" s="13">
        <f t="shared" si="10"/>
        <v>0.19054652880354506</v>
      </c>
      <c r="M52" s="14">
        <v>1</v>
      </c>
      <c r="N52" s="15">
        <v>1</v>
      </c>
      <c r="O52" s="16">
        <f t="shared" si="11"/>
        <v>0.19</v>
      </c>
      <c r="P52" s="985"/>
    </row>
    <row r="53" spans="1:16" s="296" customFormat="1" ht="24.95" customHeight="1">
      <c r="A53" s="17">
        <v>13</v>
      </c>
      <c r="B53" s="9" t="s">
        <v>16</v>
      </c>
      <c r="C53" s="9" t="s">
        <v>4</v>
      </c>
      <c r="D53" s="147"/>
      <c r="E53" s="10" t="s">
        <v>10</v>
      </c>
      <c r="F53" s="18">
        <v>38750</v>
      </c>
      <c r="G53" s="11">
        <v>39082</v>
      </c>
      <c r="H53" s="12">
        <f t="shared" si="8"/>
        <v>332</v>
      </c>
      <c r="I53" s="11">
        <v>38750</v>
      </c>
      <c r="J53" s="11">
        <v>39082</v>
      </c>
      <c r="K53" s="12">
        <f t="shared" si="9"/>
        <v>332</v>
      </c>
      <c r="L53" s="13">
        <f t="shared" si="10"/>
        <v>1</v>
      </c>
      <c r="M53" s="14">
        <v>0.6</v>
      </c>
      <c r="N53" s="15">
        <v>1</v>
      </c>
      <c r="O53" s="16">
        <f t="shared" si="11"/>
        <v>0.6</v>
      </c>
      <c r="P53" s="985"/>
    </row>
    <row r="54" spans="1:16" s="296" customFormat="1" ht="24.95" customHeight="1">
      <c r="A54" s="17">
        <v>15</v>
      </c>
      <c r="B54" s="9" t="s">
        <v>178</v>
      </c>
      <c r="C54" s="9" t="s">
        <v>4</v>
      </c>
      <c r="D54" s="147"/>
      <c r="E54" s="10" t="s">
        <v>10</v>
      </c>
      <c r="F54" s="18">
        <v>37435</v>
      </c>
      <c r="G54" s="11">
        <v>39414</v>
      </c>
      <c r="H54" s="12">
        <f t="shared" si="8"/>
        <v>1979</v>
      </c>
      <c r="I54" s="11">
        <v>37435</v>
      </c>
      <c r="J54" s="11">
        <v>39414</v>
      </c>
      <c r="K54" s="12">
        <f t="shared" si="9"/>
        <v>1979</v>
      </c>
      <c r="L54" s="13">
        <f t="shared" si="10"/>
        <v>1</v>
      </c>
      <c r="M54" s="14">
        <v>1</v>
      </c>
      <c r="N54" s="15">
        <v>1</v>
      </c>
      <c r="O54" s="16">
        <f t="shared" si="11"/>
        <v>1</v>
      </c>
      <c r="P54" s="985"/>
    </row>
    <row r="55" spans="1:16" s="296" customFormat="1" ht="24.95" customHeight="1">
      <c r="A55" s="17">
        <v>16</v>
      </c>
      <c r="B55" s="9" t="s">
        <v>17</v>
      </c>
      <c r="C55" s="9" t="s">
        <v>4</v>
      </c>
      <c r="D55" s="147"/>
      <c r="E55" s="10" t="s">
        <v>10</v>
      </c>
      <c r="F55" s="18">
        <v>38834</v>
      </c>
      <c r="G55" s="18">
        <v>39482</v>
      </c>
      <c r="H55" s="12">
        <f t="shared" si="8"/>
        <v>648</v>
      </c>
      <c r="I55" s="11">
        <v>38834</v>
      </c>
      <c r="J55" s="11">
        <v>39482</v>
      </c>
      <c r="K55" s="12">
        <f t="shared" si="9"/>
        <v>648</v>
      </c>
      <c r="L55" s="13">
        <f t="shared" si="10"/>
        <v>1</v>
      </c>
      <c r="M55" s="14">
        <v>1</v>
      </c>
      <c r="N55" s="15">
        <v>1</v>
      </c>
      <c r="O55" s="16">
        <f t="shared" si="11"/>
        <v>1</v>
      </c>
      <c r="P55" s="985"/>
    </row>
    <row r="56" spans="1:16" s="298" customFormat="1" ht="24.95" customHeight="1" thickBot="1">
      <c r="A56" s="1006" t="s">
        <v>5</v>
      </c>
      <c r="B56" s="1007"/>
      <c r="C56" s="1007"/>
      <c r="D56" s="1007"/>
      <c r="E56" s="1007"/>
      <c r="F56" s="1007"/>
      <c r="G56" s="1007"/>
      <c r="H56" s="1007"/>
      <c r="I56" s="1007"/>
      <c r="J56" s="1007"/>
      <c r="K56" s="1007"/>
      <c r="L56" s="1007"/>
      <c r="M56" s="1007"/>
      <c r="N56" s="1008"/>
      <c r="O56" s="19">
        <f>SUM(O42:O55)</f>
        <v>8.75</v>
      </c>
      <c r="P56" s="347"/>
    </row>
    <row r="57" spans="1:16" s="298" customFormat="1" ht="35.1" customHeight="1">
      <c r="A57" s="345"/>
      <c r="B57" s="345"/>
      <c r="C57" s="345"/>
      <c r="D57" s="345"/>
      <c r="E57" s="345"/>
      <c r="F57" s="345"/>
      <c r="G57" s="345"/>
      <c r="H57" s="345"/>
      <c r="I57" s="345"/>
      <c r="J57" s="345"/>
      <c r="K57" s="345"/>
      <c r="L57" s="345"/>
      <c r="M57" s="345"/>
      <c r="N57" s="345"/>
      <c r="O57" s="346"/>
    </row>
    <row r="58" spans="1:16" s="343" customFormat="1" ht="30" customHeight="1" thickBot="1">
      <c r="A58" s="995" t="str">
        <f>배점기준!C6</f>
        <v>폐기물처리</v>
      </c>
      <c r="B58" s="996"/>
      <c r="C58" s="337" t="s">
        <v>233</v>
      </c>
      <c r="D58" s="1019" t="s">
        <v>255</v>
      </c>
      <c r="E58" s="1020"/>
      <c r="F58" s="338"/>
      <c r="G58" s="339"/>
      <c r="H58" s="339"/>
      <c r="I58" s="340"/>
      <c r="J58" s="340"/>
      <c r="K58" s="340"/>
      <c r="L58" s="340"/>
      <c r="M58" s="340"/>
      <c r="N58" s="340"/>
      <c r="O58" s="341"/>
      <c r="P58" s="342"/>
    </row>
    <row r="59" spans="1:16" s="286" customFormat="1" ht="24.95" customHeight="1">
      <c r="A59" s="1013" t="s">
        <v>6</v>
      </c>
      <c r="B59" s="1015" t="s">
        <v>7</v>
      </c>
      <c r="C59" s="1017" t="s">
        <v>8</v>
      </c>
      <c r="D59" s="1017" t="s">
        <v>542</v>
      </c>
      <c r="E59" s="980" t="s">
        <v>253</v>
      </c>
      <c r="F59" s="991" t="s">
        <v>384</v>
      </c>
      <c r="G59" s="992"/>
      <c r="H59" s="992"/>
      <c r="I59" s="1000" t="s">
        <v>385</v>
      </c>
      <c r="J59" s="1005"/>
      <c r="K59" s="1001"/>
      <c r="L59" s="1009" t="s">
        <v>217</v>
      </c>
      <c r="M59" s="1011" t="s">
        <v>214</v>
      </c>
      <c r="N59" s="1012"/>
      <c r="O59" s="1009" t="s">
        <v>3</v>
      </c>
      <c r="P59" s="982" t="s">
        <v>9</v>
      </c>
    </row>
    <row r="60" spans="1:16" s="286" customFormat="1" ht="24.95" customHeight="1">
      <c r="A60" s="1014"/>
      <c r="B60" s="1016"/>
      <c r="C60" s="1018"/>
      <c r="D60" s="1018"/>
      <c r="E60" s="981"/>
      <c r="F60" s="287" t="s">
        <v>387</v>
      </c>
      <c r="G60" s="287" t="s">
        <v>388</v>
      </c>
      <c r="H60" s="287" t="s">
        <v>179</v>
      </c>
      <c r="I60" s="287" t="s">
        <v>389</v>
      </c>
      <c r="J60" s="287" t="s">
        <v>390</v>
      </c>
      <c r="K60" s="287" t="s">
        <v>180</v>
      </c>
      <c r="L60" s="1010"/>
      <c r="M60" s="6" t="s">
        <v>215</v>
      </c>
      <c r="N60" s="7" t="s">
        <v>216</v>
      </c>
      <c r="O60" s="1010"/>
      <c r="P60" s="983"/>
    </row>
    <row r="61" spans="1:16" s="296" customFormat="1" ht="24.95" customHeight="1">
      <c r="A61" s="8">
        <v>1</v>
      </c>
      <c r="B61" s="9" t="s">
        <v>172</v>
      </c>
      <c r="C61" s="9" t="s">
        <v>4</v>
      </c>
      <c r="D61" s="147"/>
      <c r="E61" s="10" t="s">
        <v>10</v>
      </c>
      <c r="F61" s="11">
        <v>34645</v>
      </c>
      <c r="G61" s="11">
        <v>36522</v>
      </c>
      <c r="H61" s="12">
        <f>IF(G61-F61&gt;=90,G61-F61,0)</f>
        <v>1877</v>
      </c>
      <c r="I61" s="11">
        <v>34645</v>
      </c>
      <c r="J61" s="11">
        <v>36522</v>
      </c>
      <c r="K61" s="12">
        <f>IF(J61-I61&gt;=30,J61-I61,0)</f>
        <v>1877</v>
      </c>
      <c r="L61" s="13">
        <f>K61/H61</f>
        <v>1</v>
      </c>
      <c r="M61" s="14">
        <v>1</v>
      </c>
      <c r="N61" s="15">
        <v>0.6</v>
      </c>
      <c r="O61" s="16">
        <f>ROUND(L61*M61*N61,2)</f>
        <v>0.6</v>
      </c>
      <c r="P61" s="984"/>
    </row>
    <row r="62" spans="1:16" s="298" customFormat="1" ht="24.95" customHeight="1">
      <c r="A62" s="17">
        <v>2</v>
      </c>
      <c r="B62" s="9" t="s">
        <v>173</v>
      </c>
      <c r="C62" s="9" t="s">
        <v>4</v>
      </c>
      <c r="D62" s="147"/>
      <c r="E62" s="10" t="s">
        <v>10</v>
      </c>
      <c r="F62" s="11">
        <v>34692</v>
      </c>
      <c r="G62" s="11">
        <v>37063</v>
      </c>
      <c r="H62" s="12">
        <f t="shared" ref="H62:H74" si="12">IF(G62-F62&gt;=90,G62-F62,0)</f>
        <v>2371</v>
      </c>
      <c r="I62" s="11">
        <v>34692</v>
      </c>
      <c r="J62" s="11">
        <v>36525</v>
      </c>
      <c r="K62" s="12">
        <f t="shared" ref="K62:K74" si="13">IF(J62-I62&gt;=30,J62-I62,0)</f>
        <v>1833</v>
      </c>
      <c r="L62" s="13">
        <f t="shared" ref="L62:L74" si="14">K62/H62</f>
        <v>0.7730915225643189</v>
      </c>
      <c r="M62" s="14">
        <v>0.6</v>
      </c>
      <c r="N62" s="15">
        <v>0.6</v>
      </c>
      <c r="O62" s="16">
        <f t="shared" ref="O62:O74" si="15">ROUND(L62*M62*N62,2)</f>
        <v>0.28000000000000003</v>
      </c>
      <c r="P62" s="985"/>
    </row>
    <row r="63" spans="1:16" s="298" customFormat="1" ht="24.95" customHeight="1">
      <c r="A63" s="17">
        <v>3</v>
      </c>
      <c r="B63" s="9" t="s">
        <v>174</v>
      </c>
      <c r="C63" s="9" t="s">
        <v>4</v>
      </c>
      <c r="D63" s="147"/>
      <c r="E63" s="10" t="s">
        <v>10</v>
      </c>
      <c r="F63" s="11">
        <v>34967</v>
      </c>
      <c r="G63" s="11">
        <v>36871</v>
      </c>
      <c r="H63" s="12">
        <f t="shared" si="12"/>
        <v>1904</v>
      </c>
      <c r="I63" s="11">
        <v>34967</v>
      </c>
      <c r="J63" s="11">
        <v>36871</v>
      </c>
      <c r="K63" s="12">
        <f t="shared" si="13"/>
        <v>1904</v>
      </c>
      <c r="L63" s="13">
        <f t="shared" si="14"/>
        <v>1</v>
      </c>
      <c r="M63" s="14">
        <v>1</v>
      </c>
      <c r="N63" s="15">
        <v>1</v>
      </c>
      <c r="O63" s="16">
        <f t="shared" si="15"/>
        <v>1</v>
      </c>
      <c r="P63" s="985"/>
    </row>
    <row r="64" spans="1:16" s="298" customFormat="1" ht="24.95" customHeight="1">
      <c r="A64" s="17">
        <v>4</v>
      </c>
      <c r="B64" s="9" t="s">
        <v>175</v>
      </c>
      <c r="C64" s="9" t="s">
        <v>4</v>
      </c>
      <c r="D64" s="147"/>
      <c r="E64" s="10" t="s">
        <v>10</v>
      </c>
      <c r="F64" s="11">
        <v>36194</v>
      </c>
      <c r="G64" s="11">
        <v>37008</v>
      </c>
      <c r="H64" s="12">
        <f t="shared" si="12"/>
        <v>814</v>
      </c>
      <c r="I64" s="11">
        <v>36194</v>
      </c>
      <c r="J64" s="11">
        <v>37008</v>
      </c>
      <c r="K64" s="12">
        <f t="shared" si="13"/>
        <v>814</v>
      </c>
      <c r="L64" s="13">
        <f t="shared" si="14"/>
        <v>1</v>
      </c>
      <c r="M64" s="14">
        <v>0.6</v>
      </c>
      <c r="N64" s="15">
        <v>1</v>
      </c>
      <c r="O64" s="16">
        <f t="shared" si="15"/>
        <v>0.6</v>
      </c>
      <c r="P64" s="985"/>
    </row>
    <row r="65" spans="1:17" s="298" customFormat="1" ht="24.95" customHeight="1">
      <c r="A65" s="17">
        <v>5</v>
      </c>
      <c r="B65" s="9" t="s">
        <v>11</v>
      </c>
      <c r="C65" s="9" t="s">
        <v>4</v>
      </c>
      <c r="D65" s="147"/>
      <c r="E65" s="10" t="s">
        <v>10</v>
      </c>
      <c r="F65" s="11">
        <v>37369</v>
      </c>
      <c r="G65" s="11">
        <v>37954</v>
      </c>
      <c r="H65" s="12">
        <f t="shared" si="12"/>
        <v>585</v>
      </c>
      <c r="I65" s="11">
        <v>37369</v>
      </c>
      <c r="J65" s="11">
        <v>37954</v>
      </c>
      <c r="K65" s="12">
        <f t="shared" si="13"/>
        <v>585</v>
      </c>
      <c r="L65" s="13">
        <f t="shared" si="14"/>
        <v>1</v>
      </c>
      <c r="M65" s="14">
        <v>1</v>
      </c>
      <c r="N65" s="15">
        <v>0.6</v>
      </c>
      <c r="O65" s="16">
        <f t="shared" si="15"/>
        <v>0.6</v>
      </c>
      <c r="P65" s="985"/>
    </row>
    <row r="66" spans="1:17" s="296" customFormat="1" ht="24.95" customHeight="1">
      <c r="A66" s="17">
        <v>7</v>
      </c>
      <c r="B66" s="9" t="s">
        <v>176</v>
      </c>
      <c r="C66" s="9" t="s">
        <v>4</v>
      </c>
      <c r="D66" s="147"/>
      <c r="E66" s="10" t="s">
        <v>10</v>
      </c>
      <c r="F66" s="11">
        <v>37673</v>
      </c>
      <c r="G66" s="11">
        <v>38929</v>
      </c>
      <c r="H66" s="12">
        <f t="shared" si="12"/>
        <v>1256</v>
      </c>
      <c r="I66" s="11">
        <v>37673</v>
      </c>
      <c r="J66" s="11">
        <v>38929</v>
      </c>
      <c r="K66" s="12">
        <f t="shared" si="13"/>
        <v>1256</v>
      </c>
      <c r="L66" s="13">
        <f t="shared" si="14"/>
        <v>1</v>
      </c>
      <c r="M66" s="14">
        <v>0.6</v>
      </c>
      <c r="N66" s="15">
        <v>0.6</v>
      </c>
      <c r="O66" s="16">
        <f t="shared" si="15"/>
        <v>0.36</v>
      </c>
      <c r="P66" s="985"/>
    </row>
    <row r="67" spans="1:17" s="296" customFormat="1" ht="24.95" customHeight="1">
      <c r="A67" s="17">
        <v>8</v>
      </c>
      <c r="B67" s="9" t="s">
        <v>177</v>
      </c>
      <c r="C67" s="9" t="s">
        <v>4</v>
      </c>
      <c r="D67" s="147"/>
      <c r="E67" s="10" t="s">
        <v>10</v>
      </c>
      <c r="F67" s="11">
        <v>38240</v>
      </c>
      <c r="G67" s="11">
        <v>39562</v>
      </c>
      <c r="H67" s="12">
        <f t="shared" si="12"/>
        <v>1322</v>
      </c>
      <c r="I67" s="11">
        <v>38240</v>
      </c>
      <c r="J67" s="11">
        <v>39562</v>
      </c>
      <c r="K67" s="12">
        <f t="shared" si="13"/>
        <v>1322</v>
      </c>
      <c r="L67" s="13">
        <f t="shared" si="14"/>
        <v>1</v>
      </c>
      <c r="M67" s="14">
        <v>1</v>
      </c>
      <c r="N67" s="15">
        <v>1</v>
      </c>
      <c r="O67" s="16">
        <f t="shared" si="15"/>
        <v>1</v>
      </c>
      <c r="P67" s="985"/>
    </row>
    <row r="68" spans="1:17" s="296" customFormat="1" ht="24.95" customHeight="1">
      <c r="A68" s="17">
        <v>9</v>
      </c>
      <c r="B68" s="9" t="s">
        <v>12</v>
      </c>
      <c r="C68" s="9" t="s">
        <v>4</v>
      </c>
      <c r="D68" s="147"/>
      <c r="E68" s="10" t="s">
        <v>10</v>
      </c>
      <c r="F68" s="11">
        <v>38078</v>
      </c>
      <c r="G68" s="11">
        <v>38660</v>
      </c>
      <c r="H68" s="12">
        <f t="shared" si="12"/>
        <v>582</v>
      </c>
      <c r="I68" s="11">
        <v>38078</v>
      </c>
      <c r="J68" s="11">
        <v>38660</v>
      </c>
      <c r="K68" s="12">
        <f t="shared" si="13"/>
        <v>582</v>
      </c>
      <c r="L68" s="13">
        <f t="shared" si="14"/>
        <v>1</v>
      </c>
      <c r="M68" s="14">
        <v>0.6</v>
      </c>
      <c r="N68" s="15">
        <v>1</v>
      </c>
      <c r="O68" s="16">
        <f t="shared" si="15"/>
        <v>0.6</v>
      </c>
      <c r="P68" s="985"/>
    </row>
    <row r="69" spans="1:17" s="296" customFormat="1" ht="24.95" customHeight="1">
      <c r="A69" s="17">
        <v>10</v>
      </c>
      <c r="B69" s="9" t="s">
        <v>13</v>
      </c>
      <c r="C69" s="9" t="s">
        <v>4</v>
      </c>
      <c r="D69" s="147"/>
      <c r="E69" s="10" t="s">
        <v>10</v>
      </c>
      <c r="F69" s="18">
        <v>38127</v>
      </c>
      <c r="G69" s="18">
        <v>38717</v>
      </c>
      <c r="H69" s="12">
        <f t="shared" si="12"/>
        <v>590</v>
      </c>
      <c r="I69" s="11">
        <v>38127</v>
      </c>
      <c r="J69" s="11">
        <v>38717</v>
      </c>
      <c r="K69" s="12">
        <f t="shared" si="13"/>
        <v>590</v>
      </c>
      <c r="L69" s="13">
        <f t="shared" si="14"/>
        <v>1</v>
      </c>
      <c r="M69" s="14">
        <v>1</v>
      </c>
      <c r="N69" s="15">
        <v>0.6</v>
      </c>
      <c r="O69" s="16">
        <f t="shared" si="15"/>
        <v>0.6</v>
      </c>
      <c r="P69" s="985"/>
    </row>
    <row r="70" spans="1:17" s="296" customFormat="1" ht="24.95" customHeight="1">
      <c r="A70" s="17">
        <v>11</v>
      </c>
      <c r="B70" s="9" t="s">
        <v>14</v>
      </c>
      <c r="C70" s="9" t="s">
        <v>4</v>
      </c>
      <c r="D70" s="147"/>
      <c r="E70" s="10" t="s">
        <v>10</v>
      </c>
      <c r="F70" s="18">
        <v>38098</v>
      </c>
      <c r="G70" s="11">
        <v>38717</v>
      </c>
      <c r="H70" s="12">
        <f t="shared" si="12"/>
        <v>619</v>
      </c>
      <c r="I70" s="11">
        <v>38098</v>
      </c>
      <c r="J70" s="11">
        <v>38656</v>
      </c>
      <c r="K70" s="12">
        <f t="shared" si="13"/>
        <v>558</v>
      </c>
      <c r="L70" s="13">
        <f t="shared" si="14"/>
        <v>0.90145395799676897</v>
      </c>
      <c r="M70" s="14">
        <v>0.6</v>
      </c>
      <c r="N70" s="15">
        <v>0.6</v>
      </c>
      <c r="O70" s="16">
        <f t="shared" si="15"/>
        <v>0.32</v>
      </c>
      <c r="P70" s="985"/>
    </row>
    <row r="71" spans="1:17" s="296" customFormat="1" ht="24.95" customHeight="1">
      <c r="A71" s="17">
        <v>12</v>
      </c>
      <c r="B71" s="9" t="s">
        <v>15</v>
      </c>
      <c r="C71" s="9" t="s">
        <v>4</v>
      </c>
      <c r="D71" s="147"/>
      <c r="E71" s="10" t="s">
        <v>10</v>
      </c>
      <c r="F71" s="18">
        <v>37376</v>
      </c>
      <c r="G71" s="18">
        <v>38730</v>
      </c>
      <c r="H71" s="12">
        <f t="shared" si="12"/>
        <v>1354</v>
      </c>
      <c r="I71" s="11">
        <v>38472</v>
      </c>
      <c r="J71" s="11">
        <v>38730</v>
      </c>
      <c r="K71" s="12">
        <f t="shared" si="13"/>
        <v>258</v>
      </c>
      <c r="L71" s="13">
        <f t="shared" si="14"/>
        <v>0.19054652880354506</v>
      </c>
      <c r="M71" s="14">
        <v>1</v>
      </c>
      <c r="N71" s="15">
        <v>1</v>
      </c>
      <c r="O71" s="16">
        <f t="shared" si="15"/>
        <v>0.19</v>
      </c>
      <c r="P71" s="985"/>
    </row>
    <row r="72" spans="1:17" s="296" customFormat="1" ht="24.95" customHeight="1">
      <c r="A72" s="17">
        <v>13</v>
      </c>
      <c r="B72" s="9" t="s">
        <v>16</v>
      </c>
      <c r="C72" s="9" t="s">
        <v>4</v>
      </c>
      <c r="D72" s="147"/>
      <c r="E72" s="10" t="s">
        <v>10</v>
      </c>
      <c r="F72" s="18">
        <v>38750</v>
      </c>
      <c r="G72" s="11">
        <v>39082</v>
      </c>
      <c r="H72" s="12">
        <f t="shared" si="12"/>
        <v>332</v>
      </c>
      <c r="I72" s="11">
        <v>38750</v>
      </c>
      <c r="J72" s="11">
        <v>39082</v>
      </c>
      <c r="K72" s="12">
        <f t="shared" si="13"/>
        <v>332</v>
      </c>
      <c r="L72" s="13">
        <f t="shared" si="14"/>
        <v>1</v>
      </c>
      <c r="M72" s="14">
        <v>0.6</v>
      </c>
      <c r="N72" s="15">
        <v>1</v>
      </c>
      <c r="O72" s="16">
        <f t="shared" si="15"/>
        <v>0.6</v>
      </c>
      <c r="P72" s="985"/>
    </row>
    <row r="73" spans="1:17" s="296" customFormat="1" ht="24.95" customHeight="1">
      <c r="A73" s="17">
        <v>15</v>
      </c>
      <c r="B73" s="9" t="s">
        <v>178</v>
      </c>
      <c r="C73" s="9" t="s">
        <v>4</v>
      </c>
      <c r="D73" s="147"/>
      <c r="E73" s="10" t="s">
        <v>10</v>
      </c>
      <c r="F73" s="18">
        <v>37435</v>
      </c>
      <c r="G73" s="11">
        <v>39414</v>
      </c>
      <c r="H73" s="12">
        <f t="shared" si="12"/>
        <v>1979</v>
      </c>
      <c r="I73" s="11">
        <v>37435</v>
      </c>
      <c r="J73" s="11">
        <v>39414</v>
      </c>
      <c r="K73" s="12">
        <f t="shared" si="13"/>
        <v>1979</v>
      </c>
      <c r="L73" s="13">
        <f t="shared" si="14"/>
        <v>1</v>
      </c>
      <c r="M73" s="14">
        <v>1</v>
      </c>
      <c r="N73" s="15">
        <v>1</v>
      </c>
      <c r="O73" s="16">
        <f t="shared" si="15"/>
        <v>1</v>
      </c>
      <c r="P73" s="985"/>
    </row>
    <row r="74" spans="1:17" s="296" customFormat="1" ht="24.95" customHeight="1">
      <c r="A74" s="17">
        <v>16</v>
      </c>
      <c r="B74" s="9" t="s">
        <v>17</v>
      </c>
      <c r="C74" s="9" t="s">
        <v>4</v>
      </c>
      <c r="D74" s="147"/>
      <c r="E74" s="10" t="s">
        <v>10</v>
      </c>
      <c r="F74" s="18">
        <v>38834</v>
      </c>
      <c r="G74" s="18">
        <v>39482</v>
      </c>
      <c r="H74" s="12">
        <f t="shared" si="12"/>
        <v>648</v>
      </c>
      <c r="I74" s="11">
        <v>38834</v>
      </c>
      <c r="J74" s="11">
        <v>39482</v>
      </c>
      <c r="K74" s="12">
        <f t="shared" si="13"/>
        <v>648</v>
      </c>
      <c r="L74" s="13">
        <f t="shared" si="14"/>
        <v>1</v>
      </c>
      <c r="M74" s="14">
        <v>1</v>
      </c>
      <c r="N74" s="15">
        <v>1</v>
      </c>
      <c r="O74" s="16">
        <f t="shared" si="15"/>
        <v>1</v>
      </c>
      <c r="P74" s="985"/>
    </row>
    <row r="75" spans="1:17" s="298" customFormat="1" ht="24.95" customHeight="1" thickBot="1">
      <c r="A75" s="1006" t="s">
        <v>5</v>
      </c>
      <c r="B75" s="1007"/>
      <c r="C75" s="1007"/>
      <c r="D75" s="1007"/>
      <c r="E75" s="1007"/>
      <c r="F75" s="1007"/>
      <c r="G75" s="1007"/>
      <c r="H75" s="1007"/>
      <c r="I75" s="1007"/>
      <c r="J75" s="1007"/>
      <c r="K75" s="1007"/>
      <c r="L75" s="1007"/>
      <c r="M75" s="1007"/>
      <c r="N75" s="1008"/>
      <c r="O75" s="19">
        <f>SUM(O61:O74)</f>
        <v>8.75</v>
      </c>
      <c r="P75" s="347"/>
    </row>
    <row r="76" spans="1:17" s="335" customFormat="1" ht="15" customHeight="1">
      <c r="A76" s="318"/>
      <c r="B76" s="324"/>
      <c r="C76" s="320"/>
      <c r="D76" s="320"/>
      <c r="E76" s="320"/>
      <c r="F76" s="320"/>
      <c r="G76" s="320"/>
      <c r="H76" s="319"/>
      <c r="M76" s="321"/>
      <c r="N76" s="321"/>
      <c r="O76" s="322"/>
      <c r="P76" s="323"/>
      <c r="Q76" s="323"/>
    </row>
    <row r="77" spans="1:17" s="343" customFormat="1" ht="30" customHeight="1" thickBot="1">
      <c r="A77" s="995">
        <f>배점기준!C7</f>
        <v>0</v>
      </c>
      <c r="B77" s="996"/>
      <c r="C77" s="337" t="s">
        <v>233</v>
      </c>
      <c r="D77" s="1019" t="s">
        <v>255</v>
      </c>
      <c r="E77" s="1020"/>
      <c r="F77" s="338"/>
      <c r="G77" s="339"/>
      <c r="H77" s="339"/>
      <c r="I77" s="340"/>
      <c r="J77" s="340"/>
      <c r="K77" s="340"/>
      <c r="L77" s="340"/>
      <c r="M77" s="340"/>
      <c r="N77" s="340"/>
      <c r="O77" s="341"/>
      <c r="P77" s="342"/>
    </row>
    <row r="78" spans="1:17" s="286" customFormat="1" ht="24.95" customHeight="1">
      <c r="A78" s="1013" t="s">
        <v>6</v>
      </c>
      <c r="B78" s="1015" t="s">
        <v>7</v>
      </c>
      <c r="C78" s="1017" t="s">
        <v>8</v>
      </c>
      <c r="D78" s="1017" t="s">
        <v>542</v>
      </c>
      <c r="E78" s="980" t="s">
        <v>253</v>
      </c>
      <c r="F78" s="991" t="s">
        <v>384</v>
      </c>
      <c r="G78" s="992"/>
      <c r="H78" s="992"/>
      <c r="I78" s="1000" t="s">
        <v>385</v>
      </c>
      <c r="J78" s="1005"/>
      <c r="K78" s="1001"/>
      <c r="L78" s="1009" t="s">
        <v>217</v>
      </c>
      <c r="M78" s="1011" t="s">
        <v>214</v>
      </c>
      <c r="N78" s="1012"/>
      <c r="O78" s="1009" t="s">
        <v>3</v>
      </c>
      <c r="P78" s="982" t="s">
        <v>9</v>
      </c>
    </row>
    <row r="79" spans="1:17" s="286" customFormat="1" ht="24.95" customHeight="1">
      <c r="A79" s="1014"/>
      <c r="B79" s="1016"/>
      <c r="C79" s="1018"/>
      <c r="D79" s="1018"/>
      <c r="E79" s="981"/>
      <c r="F79" s="287" t="s">
        <v>387</v>
      </c>
      <c r="G79" s="287" t="s">
        <v>388</v>
      </c>
      <c r="H79" s="287" t="s">
        <v>179</v>
      </c>
      <c r="I79" s="287" t="s">
        <v>389</v>
      </c>
      <c r="J79" s="287" t="s">
        <v>390</v>
      </c>
      <c r="K79" s="287" t="s">
        <v>180</v>
      </c>
      <c r="L79" s="1010"/>
      <c r="M79" s="6" t="s">
        <v>215</v>
      </c>
      <c r="N79" s="7" t="s">
        <v>216</v>
      </c>
      <c r="O79" s="1010"/>
      <c r="P79" s="983"/>
    </row>
    <row r="80" spans="1:17" s="296" customFormat="1" ht="24.95" customHeight="1">
      <c r="A80" s="8">
        <v>1</v>
      </c>
      <c r="B80" s="9" t="s">
        <v>172</v>
      </c>
      <c r="C80" s="9" t="s">
        <v>4</v>
      </c>
      <c r="D80" s="147"/>
      <c r="E80" s="10" t="s">
        <v>10</v>
      </c>
      <c r="F80" s="11">
        <v>34645</v>
      </c>
      <c r="G80" s="11">
        <v>36522</v>
      </c>
      <c r="H80" s="12">
        <f>IF(G80-F80&gt;=90,G80-F80,0)</f>
        <v>1877</v>
      </c>
      <c r="I80" s="11">
        <v>34645</v>
      </c>
      <c r="J80" s="11">
        <v>36522</v>
      </c>
      <c r="K80" s="12">
        <f>IF(J80-I80&gt;=30,J80-I80,0)</f>
        <v>1877</v>
      </c>
      <c r="L80" s="13">
        <f>K80/H80</f>
        <v>1</v>
      </c>
      <c r="M80" s="14">
        <v>1</v>
      </c>
      <c r="N80" s="15">
        <v>0.6</v>
      </c>
      <c r="O80" s="16">
        <f>ROUND(L80*M80*N80,2)</f>
        <v>0.6</v>
      </c>
      <c r="P80" s="984"/>
    </row>
    <row r="81" spans="1:17" s="298" customFormat="1" ht="24.95" customHeight="1">
      <c r="A81" s="17">
        <v>2</v>
      </c>
      <c r="B81" s="9" t="s">
        <v>173</v>
      </c>
      <c r="C81" s="9" t="s">
        <v>4</v>
      </c>
      <c r="D81" s="147"/>
      <c r="E81" s="10" t="s">
        <v>10</v>
      </c>
      <c r="F81" s="11">
        <v>34692</v>
      </c>
      <c r="G81" s="11">
        <v>37063</v>
      </c>
      <c r="H81" s="12">
        <f t="shared" ref="H81:H93" si="16">IF(G81-F81&gt;=90,G81-F81,0)</f>
        <v>2371</v>
      </c>
      <c r="I81" s="11">
        <v>34692</v>
      </c>
      <c r="J81" s="11">
        <v>36525</v>
      </c>
      <c r="K81" s="12">
        <f t="shared" ref="K81:K93" si="17">IF(J81-I81&gt;=30,J81-I81,0)</f>
        <v>1833</v>
      </c>
      <c r="L81" s="13">
        <f t="shared" ref="L81:L93" si="18">K81/H81</f>
        <v>0.7730915225643189</v>
      </c>
      <c r="M81" s="14">
        <v>0.6</v>
      </c>
      <c r="N81" s="15">
        <v>0.6</v>
      </c>
      <c r="O81" s="16">
        <f t="shared" ref="O81:O93" si="19">ROUND(L81*M81*N81,2)</f>
        <v>0.28000000000000003</v>
      </c>
      <c r="P81" s="985"/>
    </row>
    <row r="82" spans="1:17" s="298" customFormat="1" ht="24.95" customHeight="1">
      <c r="A82" s="17">
        <v>3</v>
      </c>
      <c r="B82" s="9" t="s">
        <v>174</v>
      </c>
      <c r="C82" s="9" t="s">
        <v>4</v>
      </c>
      <c r="D82" s="147"/>
      <c r="E82" s="10" t="s">
        <v>10</v>
      </c>
      <c r="F82" s="11">
        <v>34967</v>
      </c>
      <c r="G82" s="11">
        <v>36871</v>
      </c>
      <c r="H82" s="12">
        <f t="shared" si="16"/>
        <v>1904</v>
      </c>
      <c r="I82" s="11">
        <v>34967</v>
      </c>
      <c r="J82" s="11">
        <v>36871</v>
      </c>
      <c r="K82" s="12">
        <f t="shared" si="17"/>
        <v>1904</v>
      </c>
      <c r="L82" s="13">
        <f t="shared" si="18"/>
        <v>1</v>
      </c>
      <c r="M82" s="14">
        <v>1</v>
      </c>
      <c r="N82" s="15">
        <v>1</v>
      </c>
      <c r="O82" s="16">
        <f t="shared" si="19"/>
        <v>1</v>
      </c>
      <c r="P82" s="985"/>
    </row>
    <row r="83" spans="1:17" s="298" customFormat="1" ht="24.95" customHeight="1">
      <c r="A83" s="17">
        <v>4</v>
      </c>
      <c r="B83" s="9" t="s">
        <v>175</v>
      </c>
      <c r="C83" s="9" t="s">
        <v>4</v>
      </c>
      <c r="D83" s="147"/>
      <c r="E83" s="10" t="s">
        <v>10</v>
      </c>
      <c r="F83" s="11">
        <v>36194</v>
      </c>
      <c r="G83" s="11">
        <v>37008</v>
      </c>
      <c r="H83" s="12">
        <f t="shared" si="16"/>
        <v>814</v>
      </c>
      <c r="I83" s="11">
        <v>36194</v>
      </c>
      <c r="J83" s="11">
        <v>37008</v>
      </c>
      <c r="K83" s="12">
        <f t="shared" si="17"/>
        <v>814</v>
      </c>
      <c r="L83" s="13">
        <f t="shared" si="18"/>
        <v>1</v>
      </c>
      <c r="M83" s="14">
        <v>0.6</v>
      </c>
      <c r="N83" s="15">
        <v>1</v>
      </c>
      <c r="O83" s="16">
        <f t="shared" si="19"/>
        <v>0.6</v>
      </c>
      <c r="P83" s="985"/>
    </row>
    <row r="84" spans="1:17" s="298" customFormat="1" ht="24.95" customHeight="1">
      <c r="A84" s="17">
        <v>5</v>
      </c>
      <c r="B84" s="9" t="s">
        <v>11</v>
      </c>
      <c r="C84" s="9" t="s">
        <v>4</v>
      </c>
      <c r="D84" s="147"/>
      <c r="E84" s="10" t="s">
        <v>10</v>
      </c>
      <c r="F84" s="11">
        <v>37369</v>
      </c>
      <c r="G84" s="11">
        <v>37954</v>
      </c>
      <c r="H84" s="12">
        <f t="shared" si="16"/>
        <v>585</v>
      </c>
      <c r="I84" s="11">
        <v>37369</v>
      </c>
      <c r="J84" s="11">
        <v>37954</v>
      </c>
      <c r="K84" s="12">
        <f t="shared" si="17"/>
        <v>585</v>
      </c>
      <c r="L84" s="13">
        <f t="shared" si="18"/>
        <v>1</v>
      </c>
      <c r="M84" s="14">
        <v>1</v>
      </c>
      <c r="N84" s="15">
        <v>0.6</v>
      </c>
      <c r="O84" s="16">
        <f t="shared" si="19"/>
        <v>0.6</v>
      </c>
      <c r="P84" s="985"/>
    </row>
    <row r="85" spans="1:17" s="296" customFormat="1" ht="24.95" customHeight="1">
      <c r="A85" s="17">
        <v>7</v>
      </c>
      <c r="B85" s="9" t="s">
        <v>176</v>
      </c>
      <c r="C85" s="9" t="s">
        <v>4</v>
      </c>
      <c r="D85" s="147"/>
      <c r="E85" s="10" t="s">
        <v>10</v>
      </c>
      <c r="F85" s="11">
        <v>37673</v>
      </c>
      <c r="G85" s="11">
        <v>38929</v>
      </c>
      <c r="H85" s="12">
        <f t="shared" si="16"/>
        <v>1256</v>
      </c>
      <c r="I85" s="11">
        <v>37673</v>
      </c>
      <c r="J85" s="11">
        <v>38929</v>
      </c>
      <c r="K85" s="12">
        <f t="shared" si="17"/>
        <v>1256</v>
      </c>
      <c r="L85" s="13">
        <f t="shared" si="18"/>
        <v>1</v>
      </c>
      <c r="M85" s="14">
        <v>0.6</v>
      </c>
      <c r="N85" s="15">
        <v>0.6</v>
      </c>
      <c r="O85" s="16">
        <f t="shared" si="19"/>
        <v>0.36</v>
      </c>
      <c r="P85" s="985"/>
    </row>
    <row r="86" spans="1:17" s="296" customFormat="1" ht="24.95" customHeight="1">
      <c r="A86" s="17">
        <v>8</v>
      </c>
      <c r="B86" s="9" t="s">
        <v>177</v>
      </c>
      <c r="C86" s="9" t="s">
        <v>4</v>
      </c>
      <c r="D86" s="147"/>
      <c r="E86" s="10" t="s">
        <v>10</v>
      </c>
      <c r="F86" s="11">
        <v>38240</v>
      </c>
      <c r="G86" s="11">
        <v>39562</v>
      </c>
      <c r="H86" s="12">
        <f t="shared" si="16"/>
        <v>1322</v>
      </c>
      <c r="I86" s="11">
        <v>38240</v>
      </c>
      <c r="J86" s="11">
        <v>39562</v>
      </c>
      <c r="K86" s="12">
        <f t="shared" si="17"/>
        <v>1322</v>
      </c>
      <c r="L86" s="13">
        <f t="shared" si="18"/>
        <v>1</v>
      </c>
      <c r="M86" s="14">
        <v>1</v>
      </c>
      <c r="N86" s="15">
        <v>1</v>
      </c>
      <c r="O86" s="16">
        <f t="shared" si="19"/>
        <v>1</v>
      </c>
      <c r="P86" s="985"/>
    </row>
    <row r="87" spans="1:17" s="296" customFormat="1" ht="24.95" customHeight="1">
      <c r="A87" s="17">
        <v>9</v>
      </c>
      <c r="B87" s="9" t="s">
        <v>12</v>
      </c>
      <c r="C87" s="9" t="s">
        <v>4</v>
      </c>
      <c r="D87" s="147"/>
      <c r="E87" s="10" t="s">
        <v>10</v>
      </c>
      <c r="F87" s="11">
        <v>38078</v>
      </c>
      <c r="G87" s="11">
        <v>38660</v>
      </c>
      <c r="H87" s="12">
        <f t="shared" si="16"/>
        <v>582</v>
      </c>
      <c r="I87" s="11">
        <v>38078</v>
      </c>
      <c r="J87" s="11">
        <v>38660</v>
      </c>
      <c r="K87" s="12">
        <f t="shared" si="17"/>
        <v>582</v>
      </c>
      <c r="L87" s="13">
        <f t="shared" si="18"/>
        <v>1</v>
      </c>
      <c r="M87" s="14">
        <v>0.6</v>
      </c>
      <c r="N87" s="15">
        <v>1</v>
      </c>
      <c r="O87" s="16">
        <f t="shared" si="19"/>
        <v>0.6</v>
      </c>
      <c r="P87" s="985"/>
    </row>
    <row r="88" spans="1:17" s="296" customFormat="1" ht="24.95" customHeight="1">
      <c r="A88" s="17">
        <v>10</v>
      </c>
      <c r="B88" s="9" t="s">
        <v>13</v>
      </c>
      <c r="C88" s="9" t="s">
        <v>4</v>
      </c>
      <c r="D88" s="147"/>
      <c r="E88" s="10" t="s">
        <v>10</v>
      </c>
      <c r="F88" s="18">
        <v>38127</v>
      </c>
      <c r="G88" s="18">
        <v>38717</v>
      </c>
      <c r="H88" s="12">
        <f t="shared" si="16"/>
        <v>590</v>
      </c>
      <c r="I88" s="11">
        <v>38127</v>
      </c>
      <c r="J88" s="11">
        <v>38717</v>
      </c>
      <c r="K88" s="12">
        <f t="shared" si="17"/>
        <v>590</v>
      </c>
      <c r="L88" s="13">
        <f t="shared" si="18"/>
        <v>1</v>
      </c>
      <c r="M88" s="14">
        <v>1</v>
      </c>
      <c r="N88" s="15">
        <v>0.6</v>
      </c>
      <c r="O88" s="16">
        <f t="shared" si="19"/>
        <v>0.6</v>
      </c>
      <c r="P88" s="985"/>
    </row>
    <row r="89" spans="1:17" s="296" customFormat="1" ht="24.95" customHeight="1">
      <c r="A89" s="17">
        <v>11</v>
      </c>
      <c r="B89" s="9" t="s">
        <v>14</v>
      </c>
      <c r="C89" s="9" t="s">
        <v>4</v>
      </c>
      <c r="D89" s="147"/>
      <c r="E89" s="10" t="s">
        <v>10</v>
      </c>
      <c r="F89" s="18">
        <v>38098</v>
      </c>
      <c r="G89" s="11">
        <v>38717</v>
      </c>
      <c r="H89" s="12">
        <f t="shared" si="16"/>
        <v>619</v>
      </c>
      <c r="I89" s="11">
        <v>38098</v>
      </c>
      <c r="J89" s="11">
        <v>38656</v>
      </c>
      <c r="K89" s="12">
        <f t="shared" si="17"/>
        <v>558</v>
      </c>
      <c r="L89" s="13">
        <f t="shared" si="18"/>
        <v>0.90145395799676897</v>
      </c>
      <c r="M89" s="14">
        <v>0.6</v>
      </c>
      <c r="N89" s="15">
        <v>0.6</v>
      </c>
      <c r="O89" s="16">
        <f t="shared" si="19"/>
        <v>0.32</v>
      </c>
      <c r="P89" s="985"/>
    </row>
    <row r="90" spans="1:17" s="296" customFormat="1" ht="24.95" customHeight="1">
      <c r="A90" s="17">
        <v>12</v>
      </c>
      <c r="B90" s="9" t="s">
        <v>15</v>
      </c>
      <c r="C90" s="9" t="s">
        <v>4</v>
      </c>
      <c r="D90" s="147"/>
      <c r="E90" s="10" t="s">
        <v>10</v>
      </c>
      <c r="F90" s="18">
        <v>37376</v>
      </c>
      <c r="G90" s="18">
        <v>38730</v>
      </c>
      <c r="H90" s="12">
        <f t="shared" si="16"/>
        <v>1354</v>
      </c>
      <c r="I90" s="11">
        <v>38472</v>
      </c>
      <c r="J90" s="11">
        <v>38730</v>
      </c>
      <c r="K90" s="12">
        <f t="shared" si="17"/>
        <v>258</v>
      </c>
      <c r="L90" s="13">
        <f t="shared" si="18"/>
        <v>0.19054652880354506</v>
      </c>
      <c r="M90" s="14">
        <v>1</v>
      </c>
      <c r="N90" s="15">
        <v>1</v>
      </c>
      <c r="O90" s="16">
        <f t="shared" si="19"/>
        <v>0.19</v>
      </c>
      <c r="P90" s="985"/>
    </row>
    <row r="91" spans="1:17" s="296" customFormat="1" ht="24.95" customHeight="1">
      <c r="A91" s="17">
        <v>13</v>
      </c>
      <c r="B91" s="9" t="s">
        <v>16</v>
      </c>
      <c r="C91" s="9" t="s">
        <v>4</v>
      </c>
      <c r="D91" s="147"/>
      <c r="E91" s="10" t="s">
        <v>10</v>
      </c>
      <c r="F91" s="18">
        <v>38750</v>
      </c>
      <c r="G91" s="11">
        <v>39082</v>
      </c>
      <c r="H91" s="12">
        <f t="shared" si="16"/>
        <v>332</v>
      </c>
      <c r="I91" s="11">
        <v>38750</v>
      </c>
      <c r="J91" s="11">
        <v>39082</v>
      </c>
      <c r="K91" s="12">
        <f t="shared" si="17"/>
        <v>332</v>
      </c>
      <c r="L91" s="13">
        <f t="shared" si="18"/>
        <v>1</v>
      </c>
      <c r="M91" s="14">
        <v>0.6</v>
      </c>
      <c r="N91" s="15">
        <v>1</v>
      </c>
      <c r="O91" s="16">
        <f t="shared" si="19"/>
        <v>0.6</v>
      </c>
      <c r="P91" s="985"/>
    </row>
    <row r="92" spans="1:17" s="296" customFormat="1" ht="24.95" customHeight="1">
      <c r="A92" s="17">
        <v>15</v>
      </c>
      <c r="B92" s="9" t="s">
        <v>178</v>
      </c>
      <c r="C92" s="9" t="s">
        <v>4</v>
      </c>
      <c r="D92" s="147"/>
      <c r="E92" s="10" t="s">
        <v>10</v>
      </c>
      <c r="F92" s="18">
        <v>37435</v>
      </c>
      <c r="G92" s="11">
        <v>39414</v>
      </c>
      <c r="H92" s="12">
        <f t="shared" si="16"/>
        <v>1979</v>
      </c>
      <c r="I92" s="11">
        <v>37435</v>
      </c>
      <c r="J92" s="11">
        <v>39414</v>
      </c>
      <c r="K92" s="12">
        <f t="shared" si="17"/>
        <v>1979</v>
      </c>
      <c r="L92" s="13">
        <f t="shared" si="18"/>
        <v>1</v>
      </c>
      <c r="M92" s="14">
        <v>1</v>
      </c>
      <c r="N92" s="15">
        <v>1</v>
      </c>
      <c r="O92" s="16">
        <f t="shared" si="19"/>
        <v>1</v>
      </c>
      <c r="P92" s="985"/>
    </row>
    <row r="93" spans="1:17" s="296" customFormat="1" ht="24.95" customHeight="1">
      <c r="A93" s="17">
        <v>16</v>
      </c>
      <c r="B93" s="9" t="s">
        <v>17</v>
      </c>
      <c r="C93" s="9" t="s">
        <v>4</v>
      </c>
      <c r="D93" s="147"/>
      <c r="E93" s="10" t="s">
        <v>10</v>
      </c>
      <c r="F93" s="18">
        <v>38834</v>
      </c>
      <c r="G93" s="18">
        <v>39482</v>
      </c>
      <c r="H93" s="12">
        <f t="shared" si="16"/>
        <v>648</v>
      </c>
      <c r="I93" s="11">
        <v>38834</v>
      </c>
      <c r="J93" s="11">
        <v>39482</v>
      </c>
      <c r="K93" s="12">
        <f t="shared" si="17"/>
        <v>648</v>
      </c>
      <c r="L93" s="13">
        <f t="shared" si="18"/>
        <v>1</v>
      </c>
      <c r="M93" s="14">
        <v>1</v>
      </c>
      <c r="N93" s="15">
        <v>1</v>
      </c>
      <c r="O93" s="16">
        <f t="shared" si="19"/>
        <v>1</v>
      </c>
      <c r="P93" s="985"/>
    </row>
    <row r="94" spans="1:17" s="298" customFormat="1" ht="24.95" customHeight="1" thickBot="1">
      <c r="A94" s="1006" t="s">
        <v>5</v>
      </c>
      <c r="B94" s="1007"/>
      <c r="C94" s="1007"/>
      <c r="D94" s="1007"/>
      <c r="E94" s="1007"/>
      <c r="F94" s="1007"/>
      <c r="G94" s="1007"/>
      <c r="H94" s="1007"/>
      <c r="I94" s="1007"/>
      <c r="J94" s="1007"/>
      <c r="K94" s="1007"/>
      <c r="L94" s="1007"/>
      <c r="M94" s="1007"/>
      <c r="N94" s="1008"/>
      <c r="O94" s="19">
        <f>SUM(O80:O93)</f>
        <v>8.75</v>
      </c>
      <c r="P94" s="347"/>
    </row>
    <row r="95" spans="1:17" s="335" customFormat="1" ht="12" customHeight="1">
      <c r="A95" s="318"/>
      <c r="B95" s="324"/>
      <c r="C95" s="320"/>
      <c r="D95" s="320"/>
      <c r="E95" s="320"/>
      <c r="F95" s="320"/>
      <c r="G95" s="320"/>
      <c r="H95" s="319"/>
      <c r="M95" s="321"/>
      <c r="N95" s="321"/>
      <c r="O95" s="322"/>
      <c r="P95" s="323"/>
      <c r="Q95" s="323"/>
    </row>
    <row r="96" spans="1:17" s="343" customFormat="1" ht="30" customHeight="1" thickBot="1">
      <c r="A96" s="995">
        <f>배점기준!C8</f>
        <v>0</v>
      </c>
      <c r="B96" s="996"/>
      <c r="C96" s="337" t="s">
        <v>233</v>
      </c>
      <c r="D96" s="1019" t="s">
        <v>255</v>
      </c>
      <c r="E96" s="1020"/>
      <c r="F96" s="338"/>
      <c r="G96" s="339"/>
      <c r="H96" s="339"/>
      <c r="I96" s="340"/>
      <c r="J96" s="340"/>
      <c r="K96" s="340"/>
      <c r="L96" s="340"/>
      <c r="M96" s="340"/>
      <c r="N96" s="340"/>
      <c r="O96" s="341"/>
      <c r="P96" s="342"/>
    </row>
    <row r="97" spans="1:16" s="286" customFormat="1" ht="24.95" customHeight="1">
      <c r="A97" s="1013" t="s">
        <v>6</v>
      </c>
      <c r="B97" s="1015" t="s">
        <v>7</v>
      </c>
      <c r="C97" s="1017" t="s">
        <v>8</v>
      </c>
      <c r="D97" s="1017" t="s">
        <v>542</v>
      </c>
      <c r="E97" s="980" t="s">
        <v>253</v>
      </c>
      <c r="F97" s="991" t="s">
        <v>384</v>
      </c>
      <c r="G97" s="992"/>
      <c r="H97" s="992"/>
      <c r="I97" s="1000" t="s">
        <v>385</v>
      </c>
      <c r="J97" s="1005"/>
      <c r="K97" s="1001"/>
      <c r="L97" s="1009" t="s">
        <v>217</v>
      </c>
      <c r="M97" s="1011" t="s">
        <v>214</v>
      </c>
      <c r="N97" s="1012"/>
      <c r="O97" s="1009" t="s">
        <v>3</v>
      </c>
      <c r="P97" s="982" t="s">
        <v>9</v>
      </c>
    </row>
    <row r="98" spans="1:16" s="286" customFormat="1" ht="24.95" customHeight="1">
      <c r="A98" s="1014"/>
      <c r="B98" s="1016"/>
      <c r="C98" s="1018"/>
      <c r="D98" s="1018"/>
      <c r="E98" s="981"/>
      <c r="F98" s="287" t="s">
        <v>387</v>
      </c>
      <c r="G98" s="287" t="s">
        <v>388</v>
      </c>
      <c r="H98" s="287" t="s">
        <v>179</v>
      </c>
      <c r="I98" s="287" t="s">
        <v>389</v>
      </c>
      <c r="J98" s="287" t="s">
        <v>390</v>
      </c>
      <c r="K98" s="287" t="s">
        <v>180</v>
      </c>
      <c r="L98" s="1010"/>
      <c r="M98" s="6" t="s">
        <v>215</v>
      </c>
      <c r="N98" s="7" t="s">
        <v>216</v>
      </c>
      <c r="O98" s="1010"/>
      <c r="P98" s="983"/>
    </row>
    <row r="99" spans="1:16" s="296" customFormat="1" ht="24.95" customHeight="1">
      <c r="A99" s="8">
        <v>1</v>
      </c>
      <c r="B99" s="9" t="s">
        <v>172</v>
      </c>
      <c r="C99" s="9" t="s">
        <v>4</v>
      </c>
      <c r="D99" s="147"/>
      <c r="E99" s="10" t="s">
        <v>10</v>
      </c>
      <c r="F99" s="11">
        <v>34645</v>
      </c>
      <c r="G99" s="11">
        <v>36522</v>
      </c>
      <c r="H99" s="12">
        <f>IF(G99-F99&gt;=90,G99-F99,0)</f>
        <v>1877</v>
      </c>
      <c r="I99" s="11">
        <v>34645</v>
      </c>
      <c r="J99" s="11">
        <v>36522</v>
      </c>
      <c r="K99" s="12">
        <f>IF(J99-I99&gt;=30,J99-I99,0)</f>
        <v>1877</v>
      </c>
      <c r="L99" s="13">
        <f>K99/H99</f>
        <v>1</v>
      </c>
      <c r="M99" s="14">
        <v>1</v>
      </c>
      <c r="N99" s="15">
        <v>0.6</v>
      </c>
      <c r="O99" s="16">
        <f>ROUND(L99*M99*N99,2)</f>
        <v>0.6</v>
      </c>
      <c r="P99" s="984"/>
    </row>
    <row r="100" spans="1:16" s="298" customFormat="1" ht="24.95" customHeight="1">
      <c r="A100" s="17">
        <v>2</v>
      </c>
      <c r="B100" s="9" t="s">
        <v>173</v>
      </c>
      <c r="C100" s="9" t="s">
        <v>4</v>
      </c>
      <c r="D100" s="147"/>
      <c r="E100" s="10" t="s">
        <v>10</v>
      </c>
      <c r="F100" s="11">
        <v>34692</v>
      </c>
      <c r="G100" s="11">
        <v>37063</v>
      </c>
      <c r="H100" s="12">
        <f t="shared" ref="H100:H112" si="20">IF(G100-F100&gt;=90,G100-F100,0)</f>
        <v>2371</v>
      </c>
      <c r="I100" s="11">
        <v>34692</v>
      </c>
      <c r="J100" s="11">
        <v>36525</v>
      </c>
      <c r="K100" s="12">
        <f t="shared" ref="K100:K112" si="21">IF(J100-I100&gt;=30,J100-I100,0)</f>
        <v>1833</v>
      </c>
      <c r="L100" s="13">
        <f t="shared" ref="L100:L112" si="22">K100/H100</f>
        <v>0.7730915225643189</v>
      </c>
      <c r="M100" s="14">
        <v>0.6</v>
      </c>
      <c r="N100" s="15">
        <v>0.6</v>
      </c>
      <c r="O100" s="16">
        <f t="shared" ref="O100:O112" si="23">ROUND(L100*M100*N100,2)</f>
        <v>0.28000000000000003</v>
      </c>
      <c r="P100" s="985"/>
    </row>
    <row r="101" spans="1:16" s="298" customFormat="1" ht="24.95" customHeight="1">
      <c r="A101" s="17">
        <v>3</v>
      </c>
      <c r="B101" s="9" t="s">
        <v>174</v>
      </c>
      <c r="C101" s="9" t="s">
        <v>4</v>
      </c>
      <c r="D101" s="147"/>
      <c r="E101" s="10" t="s">
        <v>10</v>
      </c>
      <c r="F101" s="11">
        <v>34967</v>
      </c>
      <c r="G101" s="11">
        <v>36871</v>
      </c>
      <c r="H101" s="12">
        <f t="shared" si="20"/>
        <v>1904</v>
      </c>
      <c r="I101" s="11">
        <v>34967</v>
      </c>
      <c r="J101" s="11">
        <v>36871</v>
      </c>
      <c r="K101" s="12">
        <f t="shared" si="21"/>
        <v>1904</v>
      </c>
      <c r="L101" s="13">
        <f t="shared" si="22"/>
        <v>1</v>
      </c>
      <c r="M101" s="14">
        <v>1</v>
      </c>
      <c r="N101" s="15">
        <v>1</v>
      </c>
      <c r="O101" s="16">
        <f t="shared" si="23"/>
        <v>1</v>
      </c>
      <c r="P101" s="985"/>
    </row>
    <row r="102" spans="1:16" s="298" customFormat="1" ht="24.95" customHeight="1">
      <c r="A102" s="17">
        <v>4</v>
      </c>
      <c r="B102" s="9" t="s">
        <v>175</v>
      </c>
      <c r="C102" s="9" t="s">
        <v>4</v>
      </c>
      <c r="D102" s="147"/>
      <c r="E102" s="10" t="s">
        <v>10</v>
      </c>
      <c r="F102" s="11">
        <v>36194</v>
      </c>
      <c r="G102" s="11">
        <v>37008</v>
      </c>
      <c r="H102" s="12">
        <f t="shared" si="20"/>
        <v>814</v>
      </c>
      <c r="I102" s="11">
        <v>36194</v>
      </c>
      <c r="J102" s="11">
        <v>37008</v>
      </c>
      <c r="K102" s="12">
        <f t="shared" si="21"/>
        <v>814</v>
      </c>
      <c r="L102" s="13">
        <f t="shared" si="22"/>
        <v>1</v>
      </c>
      <c r="M102" s="14">
        <v>0.6</v>
      </c>
      <c r="N102" s="15">
        <v>1</v>
      </c>
      <c r="O102" s="16">
        <f t="shared" si="23"/>
        <v>0.6</v>
      </c>
      <c r="P102" s="985"/>
    </row>
    <row r="103" spans="1:16" s="298" customFormat="1" ht="24.95" customHeight="1">
      <c r="A103" s="17">
        <v>5</v>
      </c>
      <c r="B103" s="9" t="s">
        <v>11</v>
      </c>
      <c r="C103" s="9" t="s">
        <v>4</v>
      </c>
      <c r="D103" s="147"/>
      <c r="E103" s="10" t="s">
        <v>10</v>
      </c>
      <c r="F103" s="11">
        <v>37369</v>
      </c>
      <c r="G103" s="11">
        <v>37954</v>
      </c>
      <c r="H103" s="12">
        <f t="shared" si="20"/>
        <v>585</v>
      </c>
      <c r="I103" s="11">
        <v>37369</v>
      </c>
      <c r="J103" s="11">
        <v>37954</v>
      </c>
      <c r="K103" s="12">
        <f t="shared" si="21"/>
        <v>585</v>
      </c>
      <c r="L103" s="13">
        <f t="shared" si="22"/>
        <v>1</v>
      </c>
      <c r="M103" s="14">
        <v>1</v>
      </c>
      <c r="N103" s="15">
        <v>0.6</v>
      </c>
      <c r="O103" s="16">
        <f t="shared" si="23"/>
        <v>0.6</v>
      </c>
      <c r="P103" s="985"/>
    </row>
    <row r="104" spans="1:16" s="296" customFormat="1" ht="24.95" customHeight="1">
      <c r="A104" s="17">
        <v>7</v>
      </c>
      <c r="B104" s="9" t="s">
        <v>176</v>
      </c>
      <c r="C104" s="9" t="s">
        <v>4</v>
      </c>
      <c r="D104" s="147"/>
      <c r="E104" s="10" t="s">
        <v>10</v>
      </c>
      <c r="F104" s="11">
        <v>37673</v>
      </c>
      <c r="G104" s="11">
        <v>38929</v>
      </c>
      <c r="H104" s="12">
        <f t="shared" si="20"/>
        <v>1256</v>
      </c>
      <c r="I104" s="11">
        <v>37673</v>
      </c>
      <c r="J104" s="11">
        <v>38929</v>
      </c>
      <c r="K104" s="12">
        <f t="shared" si="21"/>
        <v>1256</v>
      </c>
      <c r="L104" s="13">
        <f t="shared" si="22"/>
        <v>1</v>
      </c>
      <c r="M104" s="14">
        <v>0.6</v>
      </c>
      <c r="N104" s="15">
        <v>0.6</v>
      </c>
      <c r="O104" s="16">
        <f t="shared" si="23"/>
        <v>0.36</v>
      </c>
      <c r="P104" s="985"/>
    </row>
    <row r="105" spans="1:16" s="296" customFormat="1" ht="24.95" customHeight="1">
      <c r="A105" s="17">
        <v>8</v>
      </c>
      <c r="B105" s="9" t="s">
        <v>177</v>
      </c>
      <c r="C105" s="9" t="s">
        <v>4</v>
      </c>
      <c r="D105" s="147"/>
      <c r="E105" s="10" t="s">
        <v>10</v>
      </c>
      <c r="F105" s="11">
        <v>38240</v>
      </c>
      <c r="G105" s="11">
        <v>39562</v>
      </c>
      <c r="H105" s="12">
        <f t="shared" si="20"/>
        <v>1322</v>
      </c>
      <c r="I105" s="11">
        <v>38240</v>
      </c>
      <c r="J105" s="11">
        <v>39562</v>
      </c>
      <c r="K105" s="12">
        <f t="shared" si="21"/>
        <v>1322</v>
      </c>
      <c r="L105" s="13">
        <f t="shared" si="22"/>
        <v>1</v>
      </c>
      <c r="M105" s="14">
        <v>1</v>
      </c>
      <c r="N105" s="15">
        <v>1</v>
      </c>
      <c r="O105" s="16">
        <f t="shared" si="23"/>
        <v>1</v>
      </c>
      <c r="P105" s="985"/>
    </row>
    <row r="106" spans="1:16" s="296" customFormat="1" ht="24.95" customHeight="1">
      <c r="A106" s="17">
        <v>9</v>
      </c>
      <c r="B106" s="9" t="s">
        <v>12</v>
      </c>
      <c r="C106" s="9" t="s">
        <v>4</v>
      </c>
      <c r="D106" s="147"/>
      <c r="E106" s="10" t="s">
        <v>10</v>
      </c>
      <c r="F106" s="11">
        <v>38078</v>
      </c>
      <c r="G106" s="11">
        <v>38660</v>
      </c>
      <c r="H106" s="12">
        <f t="shared" si="20"/>
        <v>582</v>
      </c>
      <c r="I106" s="11">
        <v>38078</v>
      </c>
      <c r="J106" s="11">
        <v>38660</v>
      </c>
      <c r="K106" s="12">
        <f t="shared" si="21"/>
        <v>582</v>
      </c>
      <c r="L106" s="13">
        <f t="shared" si="22"/>
        <v>1</v>
      </c>
      <c r="M106" s="14">
        <v>0.6</v>
      </c>
      <c r="N106" s="15">
        <v>1</v>
      </c>
      <c r="O106" s="16">
        <f t="shared" si="23"/>
        <v>0.6</v>
      </c>
      <c r="P106" s="985"/>
    </row>
    <row r="107" spans="1:16" s="296" customFormat="1" ht="24.95" customHeight="1">
      <c r="A107" s="17">
        <v>10</v>
      </c>
      <c r="B107" s="9" t="s">
        <v>13</v>
      </c>
      <c r="C107" s="9" t="s">
        <v>4</v>
      </c>
      <c r="D107" s="147"/>
      <c r="E107" s="10" t="s">
        <v>10</v>
      </c>
      <c r="F107" s="18">
        <v>38127</v>
      </c>
      <c r="G107" s="18">
        <v>38717</v>
      </c>
      <c r="H107" s="12">
        <f t="shared" si="20"/>
        <v>590</v>
      </c>
      <c r="I107" s="11">
        <v>38127</v>
      </c>
      <c r="J107" s="11">
        <v>38717</v>
      </c>
      <c r="K107" s="12">
        <f t="shared" si="21"/>
        <v>590</v>
      </c>
      <c r="L107" s="13">
        <f t="shared" si="22"/>
        <v>1</v>
      </c>
      <c r="M107" s="14">
        <v>1</v>
      </c>
      <c r="N107" s="15">
        <v>0.6</v>
      </c>
      <c r="O107" s="16">
        <f t="shared" si="23"/>
        <v>0.6</v>
      </c>
      <c r="P107" s="985"/>
    </row>
    <row r="108" spans="1:16" s="296" customFormat="1" ht="24.95" customHeight="1">
      <c r="A108" s="17">
        <v>11</v>
      </c>
      <c r="B108" s="9" t="s">
        <v>14</v>
      </c>
      <c r="C108" s="9" t="s">
        <v>4</v>
      </c>
      <c r="D108" s="147"/>
      <c r="E108" s="10" t="s">
        <v>10</v>
      </c>
      <c r="F108" s="18">
        <v>38098</v>
      </c>
      <c r="G108" s="11">
        <v>38717</v>
      </c>
      <c r="H108" s="12">
        <f t="shared" si="20"/>
        <v>619</v>
      </c>
      <c r="I108" s="11">
        <v>38098</v>
      </c>
      <c r="J108" s="11">
        <v>38656</v>
      </c>
      <c r="K108" s="12">
        <f t="shared" si="21"/>
        <v>558</v>
      </c>
      <c r="L108" s="13">
        <f t="shared" si="22"/>
        <v>0.90145395799676897</v>
      </c>
      <c r="M108" s="14">
        <v>0.6</v>
      </c>
      <c r="N108" s="15">
        <v>0.6</v>
      </c>
      <c r="O108" s="16">
        <f t="shared" si="23"/>
        <v>0.32</v>
      </c>
      <c r="P108" s="985"/>
    </row>
    <row r="109" spans="1:16" s="296" customFormat="1" ht="24.95" customHeight="1">
      <c r="A109" s="17">
        <v>12</v>
      </c>
      <c r="B109" s="9" t="s">
        <v>15</v>
      </c>
      <c r="C109" s="9" t="s">
        <v>4</v>
      </c>
      <c r="D109" s="147"/>
      <c r="E109" s="10" t="s">
        <v>10</v>
      </c>
      <c r="F109" s="18">
        <v>37376</v>
      </c>
      <c r="G109" s="18">
        <v>38730</v>
      </c>
      <c r="H109" s="12">
        <f t="shared" si="20"/>
        <v>1354</v>
      </c>
      <c r="I109" s="11">
        <v>38472</v>
      </c>
      <c r="J109" s="11">
        <v>38730</v>
      </c>
      <c r="K109" s="12">
        <f t="shared" si="21"/>
        <v>258</v>
      </c>
      <c r="L109" s="13">
        <f t="shared" si="22"/>
        <v>0.19054652880354506</v>
      </c>
      <c r="M109" s="14">
        <v>1</v>
      </c>
      <c r="N109" s="15">
        <v>1</v>
      </c>
      <c r="O109" s="16">
        <f t="shared" si="23"/>
        <v>0.19</v>
      </c>
      <c r="P109" s="985"/>
    </row>
    <row r="110" spans="1:16" s="296" customFormat="1" ht="24.95" customHeight="1">
      <c r="A110" s="17">
        <v>13</v>
      </c>
      <c r="B110" s="9" t="s">
        <v>16</v>
      </c>
      <c r="C110" s="9" t="s">
        <v>4</v>
      </c>
      <c r="D110" s="147"/>
      <c r="E110" s="10" t="s">
        <v>10</v>
      </c>
      <c r="F110" s="18">
        <v>38750</v>
      </c>
      <c r="G110" s="11">
        <v>39082</v>
      </c>
      <c r="H110" s="12">
        <f t="shared" si="20"/>
        <v>332</v>
      </c>
      <c r="I110" s="11">
        <v>38750</v>
      </c>
      <c r="J110" s="11">
        <v>39082</v>
      </c>
      <c r="K110" s="12">
        <f t="shared" si="21"/>
        <v>332</v>
      </c>
      <c r="L110" s="13">
        <f t="shared" si="22"/>
        <v>1</v>
      </c>
      <c r="M110" s="14">
        <v>0.6</v>
      </c>
      <c r="N110" s="15">
        <v>1</v>
      </c>
      <c r="O110" s="16">
        <f t="shared" si="23"/>
        <v>0.6</v>
      </c>
      <c r="P110" s="985"/>
    </row>
    <row r="111" spans="1:16" s="296" customFormat="1" ht="24.95" customHeight="1">
      <c r="A111" s="17">
        <v>15</v>
      </c>
      <c r="B111" s="9" t="s">
        <v>178</v>
      </c>
      <c r="C111" s="9" t="s">
        <v>4</v>
      </c>
      <c r="D111" s="147"/>
      <c r="E111" s="10" t="s">
        <v>10</v>
      </c>
      <c r="F111" s="18">
        <v>37435</v>
      </c>
      <c r="G111" s="11">
        <v>39414</v>
      </c>
      <c r="H111" s="12">
        <f t="shared" si="20"/>
        <v>1979</v>
      </c>
      <c r="I111" s="11">
        <v>37435</v>
      </c>
      <c r="J111" s="11">
        <v>39414</v>
      </c>
      <c r="K111" s="12">
        <f t="shared" si="21"/>
        <v>1979</v>
      </c>
      <c r="L111" s="13">
        <f t="shared" si="22"/>
        <v>1</v>
      </c>
      <c r="M111" s="14">
        <v>1</v>
      </c>
      <c r="N111" s="15">
        <v>1</v>
      </c>
      <c r="O111" s="16">
        <f t="shared" si="23"/>
        <v>1</v>
      </c>
      <c r="P111" s="985"/>
    </row>
    <row r="112" spans="1:16" s="296" customFormat="1" ht="24.95" customHeight="1">
      <c r="A112" s="17">
        <v>16</v>
      </c>
      <c r="B112" s="9" t="s">
        <v>17</v>
      </c>
      <c r="C112" s="9" t="s">
        <v>4</v>
      </c>
      <c r="D112" s="147"/>
      <c r="E112" s="10" t="s">
        <v>10</v>
      </c>
      <c r="F112" s="18">
        <v>38834</v>
      </c>
      <c r="G112" s="18">
        <v>39482</v>
      </c>
      <c r="H112" s="12">
        <f t="shared" si="20"/>
        <v>648</v>
      </c>
      <c r="I112" s="11">
        <v>38834</v>
      </c>
      <c r="J112" s="11">
        <v>39482</v>
      </c>
      <c r="K112" s="12">
        <f t="shared" si="21"/>
        <v>648</v>
      </c>
      <c r="L112" s="13">
        <f t="shared" si="22"/>
        <v>1</v>
      </c>
      <c r="M112" s="14">
        <v>1</v>
      </c>
      <c r="N112" s="15">
        <v>1</v>
      </c>
      <c r="O112" s="16">
        <f t="shared" si="23"/>
        <v>1</v>
      </c>
      <c r="P112" s="985"/>
    </row>
    <row r="113" spans="1:17" s="298" customFormat="1" ht="24.95" customHeight="1" thickBot="1">
      <c r="A113" s="1006" t="s">
        <v>5</v>
      </c>
      <c r="B113" s="1007"/>
      <c r="C113" s="1007"/>
      <c r="D113" s="1007"/>
      <c r="E113" s="1007"/>
      <c r="F113" s="1007"/>
      <c r="G113" s="1007"/>
      <c r="H113" s="1007"/>
      <c r="I113" s="1007"/>
      <c r="J113" s="1007"/>
      <c r="K113" s="1007"/>
      <c r="L113" s="1007"/>
      <c r="M113" s="1007"/>
      <c r="N113" s="1008"/>
      <c r="O113" s="19">
        <f>SUM(O99:O112)</f>
        <v>8.75</v>
      </c>
      <c r="P113" s="347"/>
    </row>
    <row r="114" spans="1:17" s="335" customFormat="1" ht="12" customHeight="1">
      <c r="A114" s="318"/>
      <c r="B114" s="324"/>
      <c r="C114" s="320"/>
      <c r="D114" s="320"/>
      <c r="E114" s="320"/>
      <c r="F114" s="320"/>
      <c r="G114" s="320"/>
      <c r="H114" s="319"/>
      <c r="M114" s="321"/>
      <c r="N114" s="321"/>
      <c r="O114" s="322"/>
      <c r="P114" s="323"/>
      <c r="Q114" s="323"/>
    </row>
    <row r="115" spans="1:17" s="335" customFormat="1" ht="12" customHeight="1">
      <c r="A115" s="318"/>
      <c r="B115" s="324"/>
      <c r="C115" s="320"/>
      <c r="D115" s="320"/>
      <c r="E115" s="320"/>
      <c r="F115" s="320"/>
      <c r="G115" s="320"/>
      <c r="H115" s="319"/>
      <c r="M115" s="321"/>
      <c r="N115" s="321"/>
      <c r="O115" s="322"/>
      <c r="P115" s="323"/>
      <c r="Q115" s="323"/>
    </row>
    <row r="116" spans="1:17" s="335" customFormat="1" ht="12" customHeight="1">
      <c r="A116" s="318"/>
      <c r="B116" s="324"/>
      <c r="C116" s="320"/>
      <c r="D116" s="320"/>
      <c r="E116" s="320"/>
      <c r="F116" s="320"/>
      <c r="G116" s="320"/>
      <c r="H116" s="319"/>
      <c r="M116" s="321"/>
      <c r="N116" s="321"/>
      <c r="O116" s="322"/>
      <c r="P116" s="323"/>
      <c r="Q116" s="323"/>
    </row>
    <row r="117" spans="1:17" s="335" customFormat="1" ht="12" customHeight="1">
      <c r="A117" s="318"/>
      <c r="B117" s="324"/>
      <c r="C117" s="320"/>
      <c r="D117" s="320"/>
      <c r="E117" s="320"/>
      <c r="F117" s="320"/>
      <c r="G117" s="320"/>
      <c r="H117" s="319"/>
      <c r="M117" s="321"/>
      <c r="N117" s="321"/>
      <c r="O117" s="322"/>
      <c r="P117" s="323"/>
      <c r="Q117" s="323"/>
    </row>
    <row r="118" spans="1:17" s="335" customFormat="1" ht="12" customHeight="1">
      <c r="A118" s="318"/>
      <c r="B118" s="324"/>
      <c r="C118" s="320"/>
      <c r="D118" s="320"/>
      <c r="E118" s="320"/>
      <c r="F118" s="320"/>
      <c r="G118" s="320"/>
      <c r="H118" s="319"/>
      <c r="M118" s="321"/>
      <c r="N118" s="321"/>
      <c r="O118" s="322"/>
      <c r="P118" s="323"/>
      <c r="Q118" s="323"/>
    </row>
    <row r="119" spans="1:17" s="335" customFormat="1" ht="12" customHeight="1">
      <c r="A119" s="318"/>
      <c r="B119" s="324"/>
      <c r="C119" s="320"/>
      <c r="D119" s="320"/>
      <c r="E119" s="320"/>
      <c r="F119" s="320"/>
      <c r="G119" s="320"/>
      <c r="H119" s="319"/>
      <c r="M119" s="321"/>
      <c r="N119" s="321"/>
      <c r="O119" s="322"/>
      <c r="P119" s="323"/>
      <c r="Q119" s="323"/>
    </row>
    <row r="120" spans="1:17" s="335" customFormat="1" ht="12" customHeight="1">
      <c r="A120" s="318"/>
      <c r="B120" s="324"/>
      <c r="C120" s="320"/>
      <c r="D120" s="320"/>
      <c r="E120" s="320"/>
      <c r="F120" s="320"/>
      <c r="G120" s="320"/>
      <c r="H120" s="319"/>
      <c r="M120" s="321"/>
      <c r="N120" s="321"/>
      <c r="O120" s="322"/>
      <c r="P120" s="323"/>
      <c r="Q120" s="323"/>
    </row>
    <row r="121" spans="1:17" s="335" customFormat="1" ht="12" customHeight="1">
      <c r="A121" s="318"/>
      <c r="B121" s="324"/>
      <c r="C121" s="320"/>
      <c r="D121" s="320"/>
      <c r="E121" s="320"/>
      <c r="F121" s="320"/>
      <c r="G121" s="320"/>
      <c r="H121" s="319"/>
      <c r="M121" s="321"/>
      <c r="N121" s="321"/>
      <c r="O121" s="322"/>
      <c r="P121" s="323"/>
      <c r="Q121" s="323"/>
    </row>
    <row r="122" spans="1:17" s="335" customFormat="1" ht="12" customHeight="1">
      <c r="A122" s="318"/>
      <c r="B122" s="324"/>
      <c r="C122" s="320"/>
      <c r="D122" s="320"/>
      <c r="E122" s="320"/>
      <c r="F122" s="320"/>
      <c r="G122" s="320"/>
      <c r="H122" s="319"/>
      <c r="M122" s="321"/>
      <c r="N122" s="321"/>
      <c r="O122" s="322"/>
      <c r="P122" s="323"/>
      <c r="Q122" s="323"/>
    </row>
    <row r="123" spans="1:17" s="335" customFormat="1" ht="12" customHeight="1">
      <c r="A123" s="318"/>
      <c r="B123" s="324"/>
      <c r="C123" s="320"/>
      <c r="D123" s="320"/>
      <c r="E123" s="320"/>
      <c r="F123" s="320"/>
      <c r="G123" s="320"/>
      <c r="H123" s="319"/>
      <c r="M123" s="321"/>
      <c r="N123" s="321"/>
      <c r="O123" s="322"/>
      <c r="P123" s="323"/>
      <c r="Q123" s="323"/>
    </row>
    <row r="124" spans="1:17" s="335" customFormat="1" ht="12" customHeight="1">
      <c r="A124" s="318"/>
      <c r="B124" s="324"/>
      <c r="C124" s="320"/>
      <c r="D124" s="320"/>
      <c r="E124" s="320"/>
      <c r="F124" s="320"/>
      <c r="G124" s="320"/>
      <c r="H124" s="319"/>
      <c r="M124" s="321"/>
      <c r="N124" s="321"/>
      <c r="O124" s="322"/>
      <c r="P124" s="323"/>
      <c r="Q124" s="323"/>
    </row>
    <row r="125" spans="1:17" s="335" customFormat="1" ht="12" customHeight="1">
      <c r="A125" s="318"/>
      <c r="B125" s="324"/>
      <c r="C125" s="320"/>
      <c r="D125" s="320"/>
      <c r="E125" s="320"/>
      <c r="F125" s="320"/>
      <c r="G125" s="320"/>
      <c r="H125" s="319"/>
      <c r="M125" s="321"/>
      <c r="N125" s="321"/>
      <c r="O125" s="322"/>
      <c r="P125" s="323"/>
      <c r="Q125" s="323"/>
    </row>
    <row r="126" spans="1:17" s="335" customFormat="1" ht="12" customHeight="1">
      <c r="A126" s="318"/>
      <c r="B126" s="324"/>
      <c r="C126" s="320"/>
      <c r="D126" s="320"/>
      <c r="E126" s="320"/>
      <c r="F126" s="320"/>
      <c r="G126" s="320"/>
      <c r="H126" s="319"/>
      <c r="M126" s="321"/>
      <c r="N126" s="321"/>
      <c r="O126" s="322"/>
      <c r="P126" s="323"/>
      <c r="Q126" s="323"/>
    </row>
    <row r="127" spans="1:17" s="335" customFormat="1" ht="12" customHeight="1">
      <c r="A127" s="318"/>
      <c r="B127" s="324"/>
      <c r="C127" s="320"/>
      <c r="D127" s="320"/>
      <c r="E127" s="320"/>
      <c r="F127" s="320"/>
      <c r="G127" s="320"/>
      <c r="H127" s="319"/>
      <c r="M127" s="321"/>
      <c r="N127" s="321"/>
      <c r="O127" s="322"/>
      <c r="P127" s="323"/>
      <c r="Q127" s="323"/>
    </row>
    <row r="128" spans="1:17" s="335" customFormat="1" ht="12" customHeight="1">
      <c r="A128" s="318"/>
      <c r="B128" s="324"/>
      <c r="C128" s="320"/>
      <c r="D128" s="320"/>
      <c r="E128" s="320"/>
      <c r="F128" s="320"/>
      <c r="G128" s="320"/>
      <c r="H128" s="319"/>
      <c r="M128" s="321"/>
      <c r="N128" s="321"/>
      <c r="O128" s="322"/>
      <c r="P128" s="323"/>
      <c r="Q128" s="323"/>
    </row>
    <row r="129" spans="1:17" s="335" customFormat="1" ht="12" customHeight="1">
      <c r="A129" s="318"/>
      <c r="B129" s="324"/>
      <c r="C129" s="320"/>
      <c r="D129" s="320"/>
      <c r="E129" s="320"/>
      <c r="F129" s="320"/>
      <c r="G129" s="320"/>
      <c r="H129" s="319"/>
      <c r="M129" s="321"/>
      <c r="N129" s="321"/>
      <c r="O129" s="322"/>
      <c r="P129" s="323"/>
      <c r="Q129" s="323"/>
    </row>
    <row r="130" spans="1:17" s="335" customFormat="1" ht="12" customHeight="1">
      <c r="A130" s="318"/>
      <c r="B130" s="324"/>
      <c r="C130" s="320"/>
      <c r="D130" s="320"/>
      <c r="E130" s="320"/>
      <c r="F130" s="320"/>
      <c r="G130" s="320"/>
      <c r="H130" s="319"/>
      <c r="M130" s="321"/>
      <c r="N130" s="321"/>
      <c r="O130" s="322"/>
      <c r="P130" s="323"/>
      <c r="Q130" s="323"/>
    </row>
    <row r="131" spans="1:17" s="335" customFormat="1" ht="12" customHeight="1">
      <c r="A131" s="318"/>
      <c r="B131" s="324"/>
      <c r="C131" s="320"/>
      <c r="D131" s="320"/>
      <c r="E131" s="320"/>
      <c r="F131" s="320"/>
      <c r="G131" s="320"/>
      <c r="H131" s="319"/>
      <c r="M131" s="321"/>
      <c r="N131" s="321"/>
      <c r="O131" s="322"/>
      <c r="P131" s="323"/>
      <c r="Q131" s="323"/>
    </row>
    <row r="132" spans="1:17" s="335" customFormat="1" ht="12" customHeight="1">
      <c r="A132" s="318"/>
      <c r="B132" s="324"/>
      <c r="C132" s="320"/>
      <c r="D132" s="320"/>
      <c r="E132" s="320"/>
      <c r="F132" s="320"/>
      <c r="G132" s="320"/>
      <c r="H132" s="319"/>
      <c r="M132" s="321"/>
      <c r="N132" s="321"/>
      <c r="O132" s="322"/>
      <c r="P132" s="323"/>
      <c r="Q132" s="323"/>
    </row>
    <row r="133" spans="1:17" s="335" customFormat="1" ht="12" customHeight="1">
      <c r="A133" s="318"/>
      <c r="B133" s="324"/>
      <c r="C133" s="320"/>
      <c r="D133" s="320"/>
      <c r="E133" s="320"/>
      <c r="F133" s="320"/>
      <c r="G133" s="320"/>
      <c r="H133" s="319"/>
      <c r="M133" s="321"/>
      <c r="N133" s="321"/>
      <c r="O133" s="322"/>
      <c r="P133" s="323"/>
      <c r="Q133" s="323"/>
    </row>
    <row r="134" spans="1:17" s="335" customFormat="1" ht="12" customHeight="1">
      <c r="A134" s="318"/>
      <c r="B134" s="324"/>
      <c r="C134" s="320"/>
      <c r="D134" s="320"/>
      <c r="E134" s="320"/>
      <c r="F134" s="320"/>
      <c r="G134" s="320"/>
      <c r="H134" s="319"/>
      <c r="M134" s="321"/>
      <c r="N134" s="321"/>
      <c r="O134" s="322"/>
      <c r="P134" s="323"/>
      <c r="Q134" s="323"/>
    </row>
    <row r="135" spans="1:17" s="335" customFormat="1" ht="12" customHeight="1">
      <c r="A135" s="318"/>
      <c r="B135" s="324"/>
      <c r="C135" s="320"/>
      <c r="D135" s="320"/>
      <c r="E135" s="320"/>
      <c r="F135" s="320"/>
      <c r="G135" s="320"/>
      <c r="H135" s="319"/>
      <c r="M135" s="321"/>
      <c r="N135" s="321"/>
      <c r="O135" s="322"/>
      <c r="P135" s="323"/>
      <c r="Q135" s="323"/>
    </row>
    <row r="136" spans="1:17" s="335" customFormat="1" ht="12" customHeight="1">
      <c r="A136" s="318"/>
      <c r="B136" s="324"/>
      <c r="C136" s="320"/>
      <c r="D136" s="320"/>
      <c r="E136" s="320"/>
      <c r="F136" s="320"/>
      <c r="G136" s="320"/>
      <c r="H136" s="319"/>
      <c r="M136" s="321"/>
      <c r="N136" s="321"/>
      <c r="O136" s="322"/>
      <c r="P136" s="323"/>
      <c r="Q136" s="323"/>
    </row>
    <row r="137" spans="1:17" s="335" customFormat="1" ht="12" customHeight="1">
      <c r="A137" s="318"/>
      <c r="B137" s="324"/>
      <c r="C137" s="320"/>
      <c r="D137" s="320"/>
      <c r="E137" s="320"/>
      <c r="F137" s="320"/>
      <c r="G137" s="320"/>
      <c r="H137" s="319"/>
      <c r="M137" s="321"/>
      <c r="N137" s="321"/>
      <c r="O137" s="322"/>
      <c r="P137" s="323"/>
      <c r="Q137" s="323"/>
    </row>
    <row r="138" spans="1:17" s="335" customFormat="1" ht="12" customHeight="1">
      <c r="A138" s="318"/>
      <c r="B138" s="324"/>
      <c r="C138" s="320"/>
      <c r="D138" s="320"/>
      <c r="E138" s="320"/>
      <c r="F138" s="320"/>
      <c r="G138" s="320"/>
      <c r="H138" s="319"/>
      <c r="M138" s="321"/>
      <c r="N138" s="321"/>
      <c r="O138" s="322"/>
      <c r="P138" s="323"/>
      <c r="Q138" s="323"/>
    </row>
    <row r="139" spans="1:17" s="335" customFormat="1" ht="12" customHeight="1">
      <c r="A139" s="318"/>
      <c r="B139" s="324"/>
      <c r="C139" s="320"/>
      <c r="D139" s="320"/>
      <c r="E139" s="320"/>
      <c r="F139" s="320"/>
      <c r="G139" s="320"/>
      <c r="H139" s="319"/>
      <c r="M139" s="321"/>
      <c r="N139" s="321"/>
      <c r="O139" s="322"/>
      <c r="P139" s="323"/>
      <c r="Q139" s="323"/>
    </row>
    <row r="140" spans="1:17" s="335" customFormat="1" ht="12" customHeight="1">
      <c r="A140" s="318"/>
      <c r="B140" s="324"/>
      <c r="C140" s="320"/>
      <c r="D140" s="320"/>
      <c r="E140" s="320"/>
      <c r="F140" s="320"/>
      <c r="G140" s="320"/>
      <c r="H140" s="319"/>
      <c r="M140" s="321"/>
      <c r="N140" s="321"/>
      <c r="O140" s="322"/>
      <c r="P140" s="323"/>
      <c r="Q140" s="323"/>
    </row>
    <row r="141" spans="1:17" s="335" customFormat="1" ht="12" customHeight="1">
      <c r="A141" s="318"/>
      <c r="B141" s="324"/>
      <c r="C141" s="320"/>
      <c r="D141" s="320"/>
      <c r="E141" s="320"/>
      <c r="F141" s="320"/>
      <c r="G141" s="320"/>
      <c r="H141" s="319"/>
      <c r="M141" s="321"/>
      <c r="N141" s="321"/>
      <c r="O141" s="322"/>
      <c r="P141" s="323"/>
      <c r="Q141" s="323"/>
    </row>
    <row r="142" spans="1:17" s="335" customFormat="1" ht="12" customHeight="1">
      <c r="A142" s="318"/>
      <c r="B142" s="324"/>
      <c r="C142" s="320"/>
      <c r="D142" s="320"/>
      <c r="E142" s="320"/>
      <c r="F142" s="320"/>
      <c r="G142" s="320"/>
      <c r="H142" s="319"/>
      <c r="M142" s="321"/>
      <c r="N142" s="321"/>
      <c r="O142" s="322"/>
      <c r="P142" s="323"/>
      <c r="Q142" s="323"/>
    </row>
    <row r="143" spans="1:17" s="335" customFormat="1" ht="12" customHeight="1">
      <c r="A143" s="318"/>
      <c r="B143" s="324"/>
      <c r="C143" s="320"/>
      <c r="D143" s="320"/>
      <c r="E143" s="320"/>
      <c r="F143" s="320"/>
      <c r="G143" s="320"/>
      <c r="H143" s="319"/>
      <c r="M143" s="321"/>
      <c r="N143" s="321"/>
      <c r="O143" s="322"/>
      <c r="P143" s="323"/>
      <c r="Q143" s="323"/>
    </row>
    <row r="144" spans="1:17" s="335" customFormat="1" ht="12" customHeight="1">
      <c r="A144" s="318"/>
      <c r="B144" s="324"/>
      <c r="C144" s="320"/>
      <c r="D144" s="320"/>
      <c r="E144" s="320"/>
      <c r="F144" s="320"/>
      <c r="G144" s="320"/>
      <c r="H144" s="319"/>
      <c r="M144" s="321"/>
      <c r="N144" s="321"/>
      <c r="O144" s="322"/>
      <c r="P144" s="323"/>
      <c r="Q144" s="323"/>
    </row>
    <row r="145" spans="1:17" s="335" customFormat="1" ht="12" customHeight="1">
      <c r="A145" s="318"/>
      <c r="B145" s="324"/>
      <c r="C145" s="320"/>
      <c r="D145" s="320"/>
      <c r="E145" s="320"/>
      <c r="F145" s="320"/>
      <c r="G145" s="320"/>
      <c r="H145" s="319"/>
      <c r="M145" s="321"/>
      <c r="N145" s="321"/>
      <c r="O145" s="322"/>
      <c r="P145" s="323"/>
      <c r="Q145" s="323"/>
    </row>
    <row r="146" spans="1:17" s="335" customFormat="1" ht="12" customHeight="1">
      <c r="A146" s="318"/>
      <c r="B146" s="324"/>
      <c r="C146" s="320"/>
      <c r="D146" s="320"/>
      <c r="E146" s="320"/>
      <c r="F146" s="320"/>
      <c r="G146" s="320"/>
      <c r="H146" s="319"/>
      <c r="M146" s="321"/>
      <c r="N146" s="321"/>
      <c r="O146" s="322"/>
      <c r="P146" s="323"/>
      <c r="Q146" s="323"/>
    </row>
    <row r="147" spans="1:17" s="335" customFormat="1" ht="12" customHeight="1">
      <c r="A147" s="318"/>
      <c r="B147" s="324"/>
      <c r="C147" s="320"/>
      <c r="D147" s="320"/>
      <c r="E147" s="320"/>
      <c r="F147" s="320"/>
      <c r="G147" s="320"/>
      <c r="H147" s="319"/>
      <c r="M147" s="321"/>
      <c r="N147" s="321"/>
      <c r="O147" s="322"/>
      <c r="P147" s="323"/>
      <c r="Q147" s="323"/>
    </row>
    <row r="148" spans="1:17" s="335" customFormat="1" ht="12" customHeight="1">
      <c r="A148" s="318"/>
      <c r="B148" s="324"/>
      <c r="C148" s="320"/>
      <c r="D148" s="320"/>
      <c r="E148" s="320"/>
      <c r="F148" s="320"/>
      <c r="G148" s="320"/>
      <c r="H148" s="319"/>
      <c r="M148" s="321"/>
      <c r="N148" s="321"/>
      <c r="O148" s="322"/>
      <c r="P148" s="323"/>
      <c r="Q148" s="323"/>
    </row>
    <row r="149" spans="1:17" s="335" customFormat="1" ht="12" customHeight="1">
      <c r="A149" s="318"/>
      <c r="B149" s="324"/>
      <c r="C149" s="320"/>
      <c r="D149" s="320"/>
      <c r="E149" s="320"/>
      <c r="F149" s="320"/>
      <c r="G149" s="320"/>
      <c r="H149" s="319"/>
      <c r="M149" s="321"/>
      <c r="N149" s="321"/>
      <c r="O149" s="322"/>
      <c r="P149" s="323"/>
      <c r="Q149" s="323"/>
    </row>
    <row r="150" spans="1:17" s="335" customFormat="1" ht="12" customHeight="1">
      <c r="A150" s="318"/>
      <c r="B150" s="324"/>
      <c r="C150" s="320"/>
      <c r="D150" s="320"/>
      <c r="E150" s="320"/>
      <c r="F150" s="320"/>
      <c r="G150" s="320"/>
      <c r="H150" s="319"/>
      <c r="M150" s="321"/>
      <c r="N150" s="321"/>
      <c r="O150" s="322"/>
      <c r="P150" s="323"/>
      <c r="Q150" s="323"/>
    </row>
    <row r="151" spans="1:17" s="335" customFormat="1" ht="12" customHeight="1">
      <c r="A151" s="318"/>
      <c r="B151" s="324"/>
      <c r="C151" s="320"/>
      <c r="D151" s="320"/>
      <c r="E151" s="320"/>
      <c r="F151" s="320"/>
      <c r="G151" s="320"/>
      <c r="H151" s="319"/>
      <c r="M151" s="321"/>
      <c r="N151" s="321"/>
      <c r="O151" s="322"/>
      <c r="P151" s="323"/>
      <c r="Q151" s="323"/>
    </row>
    <row r="152" spans="1:17" s="335" customFormat="1" ht="12" customHeight="1">
      <c r="A152" s="318"/>
      <c r="B152" s="324"/>
      <c r="C152" s="320"/>
      <c r="D152" s="320"/>
      <c r="E152" s="320"/>
      <c r="F152" s="320"/>
      <c r="G152" s="320"/>
      <c r="H152" s="319"/>
      <c r="M152" s="321"/>
      <c r="N152" s="321"/>
      <c r="O152" s="322"/>
      <c r="P152" s="323"/>
      <c r="Q152" s="323"/>
    </row>
    <row r="153" spans="1:17" s="335" customFormat="1" ht="12" customHeight="1">
      <c r="A153" s="318"/>
      <c r="B153" s="324"/>
      <c r="C153" s="320"/>
      <c r="D153" s="320"/>
      <c r="E153" s="320"/>
      <c r="F153" s="320"/>
      <c r="G153" s="320"/>
      <c r="H153" s="319"/>
      <c r="M153" s="321"/>
      <c r="N153" s="321"/>
      <c r="O153" s="322"/>
      <c r="P153" s="323"/>
      <c r="Q153" s="323"/>
    </row>
    <row r="154" spans="1:17" s="335" customFormat="1" ht="12" customHeight="1">
      <c r="A154" s="318"/>
      <c r="B154" s="324"/>
      <c r="C154" s="320"/>
      <c r="D154" s="320"/>
      <c r="E154" s="320"/>
      <c r="F154" s="320"/>
      <c r="G154" s="320"/>
      <c r="H154" s="319"/>
      <c r="M154" s="321"/>
      <c r="N154" s="321"/>
      <c r="O154" s="322"/>
      <c r="P154" s="323"/>
      <c r="Q154" s="323"/>
    </row>
    <row r="155" spans="1:17" s="335" customFormat="1" ht="12" customHeight="1">
      <c r="A155" s="318"/>
      <c r="B155" s="324"/>
      <c r="C155" s="320"/>
      <c r="D155" s="320"/>
      <c r="E155" s="320"/>
      <c r="F155" s="320"/>
      <c r="G155" s="320"/>
      <c r="H155" s="319"/>
      <c r="M155" s="321"/>
      <c r="N155" s="321"/>
      <c r="O155" s="322"/>
      <c r="P155" s="323"/>
      <c r="Q155" s="323"/>
    </row>
    <row r="156" spans="1:17" s="335" customFormat="1" ht="12" customHeight="1">
      <c r="A156" s="318"/>
      <c r="B156" s="324"/>
      <c r="C156" s="320"/>
      <c r="D156" s="320"/>
      <c r="E156" s="320"/>
      <c r="F156" s="320"/>
      <c r="G156" s="320"/>
      <c r="H156" s="319"/>
      <c r="M156" s="321"/>
      <c r="N156" s="321"/>
      <c r="O156" s="322"/>
      <c r="P156" s="323"/>
      <c r="Q156" s="323"/>
    </row>
    <row r="157" spans="1:17" s="335" customFormat="1" ht="12" customHeight="1">
      <c r="A157" s="318"/>
      <c r="B157" s="324"/>
      <c r="C157" s="320"/>
      <c r="D157" s="320"/>
      <c r="E157" s="320"/>
      <c r="F157" s="320"/>
      <c r="G157" s="320"/>
      <c r="H157" s="319"/>
      <c r="M157" s="321"/>
      <c r="N157" s="321"/>
      <c r="O157" s="322"/>
      <c r="P157" s="323"/>
      <c r="Q157" s="323"/>
    </row>
    <row r="158" spans="1:17" s="335" customFormat="1" ht="12" customHeight="1">
      <c r="A158" s="318"/>
      <c r="B158" s="324"/>
      <c r="C158" s="320"/>
      <c r="D158" s="320"/>
      <c r="E158" s="320"/>
      <c r="F158" s="320"/>
      <c r="G158" s="320"/>
      <c r="H158" s="319"/>
      <c r="M158" s="321"/>
      <c r="N158" s="321"/>
      <c r="O158" s="322"/>
      <c r="P158" s="323"/>
      <c r="Q158" s="323"/>
    </row>
    <row r="159" spans="1:17" s="335" customFormat="1" ht="12" customHeight="1">
      <c r="A159" s="318"/>
      <c r="B159" s="324"/>
      <c r="C159" s="320"/>
      <c r="D159" s="320"/>
      <c r="E159" s="320"/>
      <c r="F159" s="320"/>
      <c r="G159" s="320"/>
      <c r="H159" s="319"/>
      <c r="M159" s="321"/>
      <c r="N159" s="321"/>
      <c r="O159" s="322"/>
      <c r="P159" s="323"/>
      <c r="Q159" s="323"/>
    </row>
    <row r="160" spans="1:17" s="335" customFormat="1" ht="12" customHeight="1">
      <c r="A160" s="318"/>
      <c r="B160" s="324"/>
      <c r="C160" s="320"/>
      <c r="D160" s="320"/>
      <c r="E160" s="320"/>
      <c r="F160" s="320"/>
      <c r="G160" s="320"/>
      <c r="H160" s="319"/>
      <c r="M160" s="321"/>
      <c r="N160" s="321"/>
      <c r="O160" s="322"/>
      <c r="P160" s="323"/>
      <c r="Q160" s="323"/>
    </row>
    <row r="161" spans="1:17" s="335" customFormat="1" ht="12" customHeight="1">
      <c r="A161" s="318"/>
      <c r="B161" s="324"/>
      <c r="C161" s="320"/>
      <c r="D161" s="320"/>
      <c r="E161" s="320"/>
      <c r="F161" s="320"/>
      <c r="G161" s="320"/>
      <c r="H161" s="319"/>
      <c r="M161" s="321"/>
      <c r="N161" s="321"/>
      <c r="O161" s="322"/>
      <c r="P161" s="323"/>
      <c r="Q161" s="323"/>
    </row>
    <row r="162" spans="1:17" s="335" customFormat="1" ht="12" customHeight="1">
      <c r="A162" s="318"/>
      <c r="B162" s="324"/>
      <c r="C162" s="320"/>
      <c r="D162" s="320"/>
      <c r="E162" s="320"/>
      <c r="F162" s="320"/>
      <c r="G162" s="320"/>
      <c r="H162" s="319"/>
      <c r="M162" s="321"/>
      <c r="N162" s="321"/>
      <c r="O162" s="322"/>
      <c r="P162" s="323"/>
      <c r="Q162" s="323"/>
    </row>
    <row r="163" spans="1:17" s="335" customFormat="1" ht="12" customHeight="1">
      <c r="A163" s="318"/>
      <c r="B163" s="324"/>
      <c r="C163" s="320"/>
      <c r="D163" s="320"/>
      <c r="E163" s="320"/>
      <c r="F163" s="320"/>
      <c r="G163" s="320"/>
      <c r="H163" s="319"/>
      <c r="M163" s="321"/>
      <c r="N163" s="321"/>
      <c r="O163" s="322"/>
      <c r="P163" s="323"/>
      <c r="Q163" s="323"/>
    </row>
    <row r="164" spans="1:17" s="335" customFormat="1" ht="12" customHeight="1">
      <c r="A164" s="318"/>
      <c r="B164" s="324"/>
      <c r="C164" s="320"/>
      <c r="D164" s="320"/>
      <c r="E164" s="320"/>
      <c r="F164" s="320"/>
      <c r="G164" s="320"/>
      <c r="H164" s="319"/>
      <c r="M164" s="321"/>
      <c r="N164" s="321"/>
      <c r="O164" s="322"/>
      <c r="P164" s="323"/>
      <c r="Q164" s="323"/>
    </row>
    <row r="165" spans="1:17" s="335" customFormat="1" ht="12" customHeight="1">
      <c r="A165" s="318"/>
      <c r="B165" s="324"/>
      <c r="C165" s="320"/>
      <c r="D165" s="320"/>
      <c r="E165" s="320"/>
      <c r="F165" s="320"/>
      <c r="G165" s="320"/>
      <c r="H165" s="319"/>
      <c r="M165" s="321"/>
      <c r="N165" s="321"/>
      <c r="O165" s="322"/>
      <c r="P165" s="323"/>
      <c r="Q165" s="323"/>
    </row>
    <row r="166" spans="1:17" s="335" customFormat="1" ht="12" customHeight="1">
      <c r="A166" s="318"/>
      <c r="B166" s="324"/>
      <c r="C166" s="320"/>
      <c r="D166" s="320"/>
      <c r="E166" s="320"/>
      <c r="F166" s="320"/>
      <c r="G166" s="320"/>
      <c r="H166" s="319"/>
      <c r="M166" s="321"/>
      <c r="N166" s="321"/>
      <c r="O166" s="322"/>
      <c r="P166" s="323"/>
      <c r="Q166" s="323"/>
    </row>
    <row r="167" spans="1:17" s="335" customFormat="1" ht="12" customHeight="1">
      <c r="A167" s="318"/>
      <c r="B167" s="324"/>
      <c r="C167" s="320"/>
      <c r="D167" s="320"/>
      <c r="E167" s="320"/>
      <c r="F167" s="320"/>
      <c r="G167" s="320"/>
      <c r="H167" s="319"/>
      <c r="M167" s="321"/>
      <c r="N167" s="321"/>
      <c r="O167" s="322"/>
      <c r="P167" s="323"/>
      <c r="Q167" s="323"/>
    </row>
    <row r="168" spans="1:17" s="335" customFormat="1" ht="12" customHeight="1">
      <c r="A168" s="318"/>
      <c r="B168" s="324"/>
      <c r="C168" s="320"/>
      <c r="D168" s="320"/>
      <c r="E168" s="320"/>
      <c r="F168" s="320"/>
      <c r="G168" s="320"/>
      <c r="H168" s="319"/>
      <c r="M168" s="321"/>
      <c r="N168" s="321"/>
      <c r="O168" s="322"/>
      <c r="P168" s="323"/>
      <c r="Q168" s="323"/>
    </row>
    <row r="169" spans="1:17" s="335" customFormat="1" ht="12" customHeight="1">
      <c r="A169" s="318"/>
      <c r="B169" s="324"/>
      <c r="C169" s="320"/>
      <c r="D169" s="320"/>
      <c r="E169" s="320"/>
      <c r="F169" s="320"/>
      <c r="G169" s="320"/>
      <c r="H169" s="319"/>
      <c r="M169" s="321"/>
      <c r="N169" s="321"/>
      <c r="O169" s="322"/>
      <c r="P169" s="323"/>
      <c r="Q169" s="323"/>
    </row>
    <row r="170" spans="1:17" s="335" customFormat="1" ht="12" customHeight="1">
      <c r="A170" s="318"/>
      <c r="B170" s="324"/>
      <c r="C170" s="320"/>
      <c r="D170" s="320"/>
      <c r="E170" s="320"/>
      <c r="F170" s="320"/>
      <c r="G170" s="320"/>
      <c r="H170" s="319"/>
      <c r="M170" s="321"/>
      <c r="N170" s="321"/>
      <c r="O170" s="322"/>
      <c r="P170" s="323"/>
      <c r="Q170" s="323"/>
    </row>
    <row r="171" spans="1:17" s="335" customFormat="1" ht="12" customHeight="1">
      <c r="A171" s="318"/>
      <c r="B171" s="324"/>
      <c r="C171" s="320"/>
      <c r="D171" s="320"/>
      <c r="E171" s="320"/>
      <c r="F171" s="320"/>
      <c r="G171" s="320"/>
      <c r="H171" s="319"/>
      <c r="M171" s="321"/>
      <c r="N171" s="321"/>
      <c r="O171" s="322"/>
      <c r="P171" s="323"/>
      <c r="Q171" s="323"/>
    </row>
    <row r="172" spans="1:17" s="335" customFormat="1" ht="12" customHeight="1">
      <c r="A172" s="318"/>
      <c r="B172" s="324"/>
      <c r="C172" s="320"/>
      <c r="D172" s="320"/>
      <c r="E172" s="320"/>
      <c r="F172" s="320"/>
      <c r="G172" s="320"/>
      <c r="H172" s="319"/>
      <c r="M172" s="321"/>
      <c r="N172" s="321"/>
      <c r="O172" s="322"/>
      <c r="P172" s="323"/>
      <c r="Q172" s="323"/>
    </row>
    <row r="173" spans="1:17" s="335" customFormat="1" ht="12" customHeight="1">
      <c r="A173" s="318"/>
      <c r="B173" s="324"/>
      <c r="C173" s="320"/>
      <c r="D173" s="320"/>
      <c r="E173" s="320"/>
      <c r="F173" s="320"/>
      <c r="G173" s="320"/>
      <c r="H173" s="319"/>
      <c r="M173" s="321"/>
      <c r="N173" s="321"/>
      <c r="O173" s="322"/>
      <c r="P173" s="323"/>
      <c r="Q173" s="323"/>
    </row>
    <row r="174" spans="1:17" s="335" customFormat="1" ht="12" customHeight="1">
      <c r="A174" s="318"/>
      <c r="B174" s="324"/>
      <c r="C174" s="320"/>
      <c r="D174" s="320"/>
      <c r="E174" s="320"/>
      <c r="F174" s="320"/>
      <c r="G174" s="320"/>
      <c r="H174" s="319"/>
      <c r="M174" s="321"/>
      <c r="N174" s="321"/>
      <c r="O174" s="322"/>
      <c r="P174" s="323"/>
      <c r="Q174" s="323"/>
    </row>
  </sheetData>
  <mergeCells count="90">
    <mergeCell ref="D40:D41"/>
    <mergeCell ref="D59:D60"/>
    <mergeCell ref="D78:D79"/>
    <mergeCell ref="D97:D98"/>
    <mergeCell ref="P4:P17"/>
    <mergeCell ref="D21:D22"/>
    <mergeCell ref="O21:O22"/>
    <mergeCell ref="P21:P22"/>
    <mergeCell ref="P23:P36"/>
    <mergeCell ref="A37:N37"/>
    <mergeCell ref="A56:N56"/>
    <mergeCell ref="A40:A41"/>
    <mergeCell ref="B40:B41"/>
    <mergeCell ref="C40:C41"/>
    <mergeCell ref="E40:E41"/>
    <mergeCell ref="F40:H40"/>
    <mergeCell ref="A1:B1"/>
    <mergeCell ref="A2:A3"/>
    <mergeCell ref="B2:B3"/>
    <mergeCell ref="C2:C3"/>
    <mergeCell ref="E2:E3"/>
    <mergeCell ref="F2:H2"/>
    <mergeCell ref="I2:K2"/>
    <mergeCell ref="L2:L3"/>
    <mergeCell ref="M2:N2"/>
    <mergeCell ref="O2:O3"/>
    <mergeCell ref="P2:P3"/>
    <mergeCell ref="D1:E1"/>
    <mergeCell ref="D2:D3"/>
    <mergeCell ref="A39:B39"/>
    <mergeCell ref="A18:N18"/>
    <mergeCell ref="A20:B20"/>
    <mergeCell ref="A21:A22"/>
    <mergeCell ref="B21:B22"/>
    <mergeCell ref="C21:C22"/>
    <mergeCell ref="E21:E22"/>
    <mergeCell ref="F21:H21"/>
    <mergeCell ref="I21:K21"/>
    <mergeCell ref="L21:L22"/>
    <mergeCell ref="M21:N21"/>
    <mergeCell ref="D20:E20"/>
    <mergeCell ref="D39:E39"/>
    <mergeCell ref="I40:K40"/>
    <mergeCell ref="L40:L41"/>
    <mergeCell ref="M40:N40"/>
    <mergeCell ref="O40:O41"/>
    <mergeCell ref="P40:P41"/>
    <mergeCell ref="P42:P55"/>
    <mergeCell ref="P61:P74"/>
    <mergeCell ref="A58:B58"/>
    <mergeCell ref="A59:A60"/>
    <mergeCell ref="B59:B60"/>
    <mergeCell ref="C59:C60"/>
    <mergeCell ref="E59:E60"/>
    <mergeCell ref="F59:H59"/>
    <mergeCell ref="I59:K59"/>
    <mergeCell ref="L59:L60"/>
    <mergeCell ref="M59:N59"/>
    <mergeCell ref="O59:O60"/>
    <mergeCell ref="P59:P60"/>
    <mergeCell ref="D58:E58"/>
    <mergeCell ref="A96:B96"/>
    <mergeCell ref="A75:N75"/>
    <mergeCell ref="A77:B77"/>
    <mergeCell ref="A78:A79"/>
    <mergeCell ref="B78:B79"/>
    <mergeCell ref="C78:C79"/>
    <mergeCell ref="E78:E79"/>
    <mergeCell ref="F78:H78"/>
    <mergeCell ref="I78:K78"/>
    <mergeCell ref="L78:L79"/>
    <mergeCell ref="M78:N78"/>
    <mergeCell ref="D77:E77"/>
    <mergeCell ref="D96:E96"/>
    <mergeCell ref="O78:O79"/>
    <mergeCell ref="P78:P79"/>
    <mergeCell ref="P80:P93"/>
    <mergeCell ref="A94:N94"/>
    <mergeCell ref="A113:N113"/>
    <mergeCell ref="A97:A98"/>
    <mergeCell ref="B97:B98"/>
    <mergeCell ref="C97:C98"/>
    <mergeCell ref="E97:E98"/>
    <mergeCell ref="F97:H97"/>
    <mergeCell ref="I97:K97"/>
    <mergeCell ref="L97:L98"/>
    <mergeCell ref="M97:N97"/>
    <mergeCell ref="O97:O98"/>
    <mergeCell ref="P97:P98"/>
    <mergeCell ref="P99:P112"/>
  </mergeCells>
  <phoneticPr fontId="2" type="noConversion"/>
  <dataValidations disablePrompts="1" count="1">
    <dataValidation type="list" allowBlank="1" showInputMessage="1" showErrorMessage="1" sqref="M99:N112 M80:N93 M42:N55 M23:N36 M4:N17 M61:N74">
      <formula1>$AA$6:$AA$7</formula1>
    </dataValidation>
  </dataValidations>
  <pageMargins left="0.74803149606299213" right="0.74803149606299213" top="0.78740157480314965" bottom="0.78740157480314965" header="0.51181102362204722" footer="0.51181102362204722"/>
  <pageSetup paperSize="9" scale="60" fitToHeight="3" orientation="landscape" r:id="rId1"/>
  <headerFooter alignWithMargins="0"/>
  <rowBreaks count="5" manualBreakCount="5">
    <brk id="19" max="15" man="1"/>
    <brk id="38" max="15" man="1"/>
    <brk id="57" max="15" man="1"/>
    <brk id="76" max="15" man="1"/>
    <brk id="95" max="15" man="1"/>
  </rowBreak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FFCC"/>
  </sheetPr>
  <dimension ref="A1:Z113"/>
  <sheetViews>
    <sheetView view="pageBreakPreview" topLeftCell="A10" zoomScaleNormal="70" zoomScaleSheetLayoutView="100" workbookViewId="0">
      <selection activeCell="F7" sqref="F7"/>
    </sheetView>
  </sheetViews>
  <sheetFormatPr defaultRowHeight="15.95" customHeight="1"/>
  <cols>
    <col min="1" max="1" width="1.33203125" style="179" customWidth="1"/>
    <col min="2" max="2" width="6.44140625" style="179" customWidth="1"/>
    <col min="3" max="3" width="19" style="394" customWidth="1"/>
    <col min="4" max="4" width="21.33203125" style="394" customWidth="1"/>
    <col min="5" max="5" width="9.88671875" style="394" customWidth="1"/>
    <col min="6" max="6" width="9.88671875" style="179" customWidth="1"/>
    <col min="7" max="8" width="8.77734375" style="395" customWidth="1"/>
    <col min="9" max="9" width="12.77734375" style="396" customWidth="1"/>
    <col min="10" max="10" width="13" style="396" customWidth="1"/>
    <col min="11" max="11" width="13.21875" style="395" customWidth="1"/>
    <col min="12" max="12" width="14.44140625" style="395" customWidth="1"/>
    <col min="13" max="13" width="12.88671875" style="395" customWidth="1"/>
    <col min="14" max="16" width="8.44140625" style="179" customWidth="1"/>
    <col min="17" max="22" width="7.109375" style="179" customWidth="1"/>
    <col min="23" max="26" width="6" style="179" customWidth="1"/>
    <col min="27" max="27" width="5.44140625" style="179" customWidth="1"/>
    <col min="28" max="28" width="7" style="179" customWidth="1"/>
    <col min="29" max="16384" width="8.88671875" style="179"/>
  </cols>
  <sheetData>
    <row r="1" spans="1:23" s="351" customFormat="1" ht="35.1" customHeight="1">
      <c r="A1" s="350" t="s">
        <v>218</v>
      </c>
      <c r="C1" s="352"/>
      <c r="D1" s="352"/>
      <c r="E1" s="352"/>
      <c r="G1" s="353"/>
      <c r="H1" s="353"/>
      <c r="I1" s="354"/>
      <c r="J1" s="354"/>
      <c r="K1" s="353"/>
      <c r="L1" s="353"/>
      <c r="M1" s="353"/>
    </row>
    <row r="2" spans="1:23" s="351" customFormat="1" ht="35.1" customHeight="1">
      <c r="A2" s="350"/>
      <c r="B2" s="1044" t="s">
        <v>219</v>
      </c>
      <c r="C2" s="1044"/>
      <c r="D2" s="355"/>
      <c r="F2" s="354"/>
      <c r="G2" s="353"/>
      <c r="H2" s="354"/>
      <c r="I2" s="353"/>
      <c r="J2" s="353"/>
      <c r="K2" s="353"/>
      <c r="L2" s="353"/>
    </row>
    <row r="3" spans="1:23" s="356" customFormat="1" ht="35.1" customHeight="1">
      <c r="C3" s="1045" t="str">
        <f>배점기준!B13</f>
        <v>총괄평가자</v>
      </c>
      <c r="D3" s="1046"/>
      <c r="E3" s="1047" t="s">
        <v>224</v>
      </c>
      <c r="F3" s="1048"/>
      <c r="G3" s="357"/>
      <c r="H3" s="357"/>
      <c r="I3" s="358"/>
      <c r="J3" s="358"/>
      <c r="K3" s="357"/>
      <c r="L3" s="357"/>
      <c r="M3" s="357"/>
      <c r="N3" s="359"/>
      <c r="O3" s="359"/>
      <c r="P3" s="360"/>
      <c r="Q3" s="359"/>
      <c r="R3" s="359"/>
      <c r="S3" s="359"/>
      <c r="T3" s="359"/>
      <c r="U3" s="359"/>
      <c r="V3" s="359"/>
      <c r="W3" s="359"/>
    </row>
    <row r="4" spans="1:23" s="356" customFormat="1" ht="30" customHeight="1">
      <c r="B4" s="1029" t="s">
        <v>6</v>
      </c>
      <c r="C4" s="1037" t="s">
        <v>7</v>
      </c>
      <c r="D4" s="1038"/>
      <c r="E4" s="1033" t="s">
        <v>36</v>
      </c>
      <c r="F4" s="1034"/>
      <c r="G4" s="1031" t="s">
        <v>203</v>
      </c>
      <c r="H4" s="1029" t="s">
        <v>40</v>
      </c>
      <c r="I4" s="1029" t="s">
        <v>204</v>
      </c>
      <c r="J4" s="1029" t="s">
        <v>220</v>
      </c>
      <c r="K4" s="1029" t="s">
        <v>37</v>
      </c>
      <c r="L4" s="1029" t="s">
        <v>38</v>
      </c>
      <c r="M4" s="361" t="s">
        <v>645</v>
      </c>
      <c r="N4" s="359"/>
      <c r="O4" s="359"/>
      <c r="P4" s="360"/>
      <c r="Q4" s="359"/>
      <c r="R4" s="359"/>
      <c r="S4" s="359"/>
      <c r="T4" s="359"/>
      <c r="U4" s="359"/>
      <c r="V4" s="359"/>
      <c r="W4" s="359"/>
    </row>
    <row r="5" spans="1:23" s="356" customFormat="1" ht="30" customHeight="1">
      <c r="B5" s="1030"/>
      <c r="C5" s="1039"/>
      <c r="D5" s="1040"/>
      <c r="E5" s="362" t="s">
        <v>640</v>
      </c>
      <c r="F5" s="361" t="s">
        <v>388</v>
      </c>
      <c r="G5" s="1032"/>
      <c r="H5" s="1030"/>
      <c r="I5" s="1030"/>
      <c r="J5" s="1030"/>
      <c r="K5" s="1030"/>
      <c r="L5" s="1030"/>
      <c r="M5" s="363">
        <f>배점기준!$H$2</f>
        <v>42039</v>
      </c>
      <c r="N5" s="359"/>
      <c r="O5" s="359"/>
      <c r="P5" s="360"/>
      <c r="Q5" s="359"/>
      <c r="R5" s="359"/>
      <c r="S5" s="359"/>
      <c r="T5" s="359"/>
      <c r="U5" s="359"/>
      <c r="V5" s="359"/>
      <c r="W5" s="359"/>
    </row>
    <row r="6" spans="1:23" s="356" customFormat="1" ht="30" customHeight="1">
      <c r="B6" s="364">
        <v>1</v>
      </c>
      <c r="C6" s="1023" t="s">
        <v>221</v>
      </c>
      <c r="D6" s="1024"/>
      <c r="E6" s="365">
        <v>42018</v>
      </c>
      <c r="F6" s="365">
        <v>42323</v>
      </c>
      <c r="G6" s="366">
        <f t="shared" ref="G6:G8" si="0">F6-E6+1</f>
        <v>306</v>
      </c>
      <c r="H6" s="367">
        <v>440</v>
      </c>
      <c r="I6" s="366">
        <f>IF((F6-M5)&gt;=365,365,(F6-M5))</f>
        <v>284</v>
      </c>
      <c r="J6" s="366">
        <f>ROUND((H6*(I6/G6)/10),0)</f>
        <v>41</v>
      </c>
      <c r="K6" s="368"/>
      <c r="L6" s="368"/>
      <c r="M6" s="368"/>
      <c r="N6" s="359"/>
      <c r="O6" s="359"/>
      <c r="P6" s="360"/>
      <c r="Q6" s="359"/>
      <c r="R6" s="359"/>
      <c r="S6" s="359"/>
      <c r="T6" s="359"/>
      <c r="U6" s="359"/>
      <c r="V6" s="359"/>
      <c r="W6" s="359"/>
    </row>
    <row r="7" spans="1:23" s="356" customFormat="1" ht="30" customHeight="1">
      <c r="B7" s="364">
        <v>2</v>
      </c>
      <c r="C7" s="1023" t="s">
        <v>222</v>
      </c>
      <c r="D7" s="1024"/>
      <c r="E7" s="365">
        <v>42040</v>
      </c>
      <c r="F7" s="365">
        <v>42347</v>
      </c>
      <c r="G7" s="366">
        <f t="shared" si="0"/>
        <v>308</v>
      </c>
      <c r="H7" s="367">
        <v>403</v>
      </c>
      <c r="I7" s="366">
        <f t="shared" ref="I7:I8" si="1">IF((F7-M6)&gt;=365,365,(F7-M6))</f>
        <v>365</v>
      </c>
      <c r="J7" s="366">
        <f>ROUND((H7*(I7/G7)/10),0)</f>
        <v>48</v>
      </c>
      <c r="K7" s="368"/>
      <c r="L7" s="368"/>
      <c r="M7" s="368"/>
      <c r="N7" s="359"/>
      <c r="O7" s="359"/>
      <c r="P7" s="360"/>
      <c r="Q7" s="359"/>
      <c r="R7" s="359"/>
      <c r="S7" s="359"/>
      <c r="T7" s="359"/>
      <c r="U7" s="359"/>
      <c r="V7" s="359"/>
      <c r="W7" s="359"/>
    </row>
    <row r="8" spans="1:23" s="356" customFormat="1" ht="30" customHeight="1">
      <c r="B8" s="364">
        <v>3</v>
      </c>
      <c r="C8" s="1023" t="s">
        <v>223</v>
      </c>
      <c r="D8" s="1024"/>
      <c r="E8" s="365">
        <v>42018</v>
      </c>
      <c r="F8" s="365">
        <v>42323</v>
      </c>
      <c r="G8" s="366">
        <f t="shared" si="0"/>
        <v>306</v>
      </c>
      <c r="H8" s="367">
        <v>440</v>
      </c>
      <c r="I8" s="366">
        <f t="shared" si="1"/>
        <v>365</v>
      </c>
      <c r="J8" s="366">
        <f>ROUND((H8*(I8/G8)/10),0)</f>
        <v>52</v>
      </c>
      <c r="K8" s="365"/>
      <c r="L8" s="364"/>
      <c r="M8" s="368"/>
      <c r="N8" s="359"/>
      <c r="O8" s="359"/>
      <c r="P8" s="360"/>
      <c r="Q8" s="359"/>
      <c r="R8" s="359"/>
      <c r="S8" s="359"/>
      <c r="T8" s="359"/>
      <c r="U8" s="359"/>
      <c r="V8" s="359"/>
      <c r="W8" s="359"/>
    </row>
    <row r="9" spans="1:23" s="356" customFormat="1" ht="30" customHeight="1">
      <c r="B9" s="1025" t="s">
        <v>39</v>
      </c>
      <c r="C9" s="1026"/>
      <c r="D9" s="1027"/>
      <c r="E9" s="369"/>
      <c r="F9" s="370"/>
      <c r="G9" s="371"/>
      <c r="H9" s="372"/>
      <c r="I9" s="373"/>
      <c r="J9" s="374">
        <f>(SUM(J6:J8))/100</f>
        <v>1.41</v>
      </c>
      <c r="K9" s="374">
        <f>IF((J9-2.5)&gt;=0,(J9-2.5),0)</f>
        <v>0</v>
      </c>
      <c r="L9" s="361"/>
      <c r="M9" s="375"/>
      <c r="N9" s="359"/>
      <c r="O9" s="359"/>
      <c r="P9" s="360"/>
      <c r="Q9" s="359"/>
      <c r="R9" s="359"/>
      <c r="S9" s="359"/>
      <c r="T9" s="359"/>
      <c r="U9" s="359"/>
      <c r="V9" s="359"/>
      <c r="W9" s="359"/>
    </row>
    <row r="10" spans="1:23" s="356" customFormat="1" ht="30" customHeight="1">
      <c r="B10" s="376"/>
      <c r="C10" s="377"/>
      <c r="D10" s="378"/>
      <c r="E10" s="378"/>
      <c r="F10" s="379"/>
      <c r="G10" s="380"/>
      <c r="H10" s="380"/>
      <c r="I10" s="381"/>
      <c r="J10" s="381"/>
      <c r="K10" s="376"/>
      <c r="L10" s="376"/>
      <c r="M10" s="376"/>
      <c r="N10" s="359"/>
      <c r="O10" s="359"/>
      <c r="P10" s="360"/>
      <c r="Q10" s="359"/>
      <c r="R10" s="359"/>
      <c r="S10" s="359"/>
      <c r="T10" s="359"/>
      <c r="U10" s="359"/>
      <c r="V10" s="359"/>
      <c r="W10" s="359"/>
    </row>
    <row r="11" spans="1:23" s="356" customFormat="1" ht="35.1" customHeight="1">
      <c r="B11" s="1049" t="s">
        <v>226</v>
      </c>
      <c r="C11" s="1049"/>
      <c r="D11" s="1049"/>
      <c r="E11" s="1049"/>
      <c r="F11" s="381"/>
      <c r="G11" s="380"/>
      <c r="H11" s="381"/>
      <c r="I11" s="376"/>
      <c r="J11" s="376"/>
      <c r="K11" s="376"/>
      <c r="L11" s="376"/>
      <c r="M11" s="359"/>
      <c r="N11" s="359"/>
      <c r="O11" s="360"/>
      <c r="P11" s="359"/>
      <c r="Q11" s="359"/>
      <c r="R11" s="359"/>
      <c r="S11" s="359"/>
      <c r="T11" s="359"/>
      <c r="U11" s="359"/>
      <c r="V11" s="359"/>
    </row>
    <row r="12" spans="1:23" s="356" customFormat="1" ht="30" customHeight="1">
      <c r="B12" s="382"/>
      <c r="C12" s="831" t="str">
        <f>배점기준!$C$3</f>
        <v>대기관리</v>
      </c>
      <c r="D12" s="832" t="s">
        <v>225</v>
      </c>
      <c r="E12" s="1053" t="s">
        <v>227</v>
      </c>
      <c r="F12" s="1054"/>
      <c r="G12" s="357"/>
      <c r="H12" s="357"/>
      <c r="I12" s="358"/>
      <c r="J12" s="358"/>
      <c r="K12" s="357"/>
      <c r="L12" s="357"/>
      <c r="M12" s="357"/>
      <c r="N12" s="359"/>
      <c r="O12" s="359"/>
      <c r="P12" s="360"/>
      <c r="Q12" s="359"/>
      <c r="R12" s="359"/>
      <c r="S12" s="359"/>
      <c r="T12" s="359"/>
      <c r="U12" s="359"/>
      <c r="V12" s="359"/>
      <c r="W12" s="359"/>
    </row>
    <row r="13" spans="1:23" s="356" customFormat="1" ht="30" customHeight="1">
      <c r="B13" s="1029" t="s">
        <v>6</v>
      </c>
      <c r="C13" s="1037" t="s">
        <v>7</v>
      </c>
      <c r="D13" s="1038"/>
      <c r="E13" s="1033" t="s">
        <v>36</v>
      </c>
      <c r="F13" s="1034"/>
      <c r="G13" s="1031" t="s">
        <v>203</v>
      </c>
      <c r="H13" s="1029" t="s">
        <v>40</v>
      </c>
      <c r="I13" s="1029" t="s">
        <v>204</v>
      </c>
      <c r="J13" s="1029" t="s">
        <v>220</v>
      </c>
      <c r="K13" s="1029" t="s">
        <v>37</v>
      </c>
      <c r="L13" s="1029" t="s">
        <v>38</v>
      </c>
      <c r="M13" s="361" t="s">
        <v>645</v>
      </c>
      <c r="N13" s="359"/>
      <c r="O13" s="359"/>
      <c r="P13" s="360"/>
      <c r="Q13" s="359"/>
      <c r="R13" s="359"/>
      <c r="S13" s="359"/>
      <c r="T13" s="359"/>
      <c r="U13" s="359"/>
      <c r="V13" s="359"/>
      <c r="W13" s="359"/>
    </row>
    <row r="14" spans="1:23" s="356" customFormat="1" ht="30" customHeight="1">
      <c r="B14" s="1030"/>
      <c r="C14" s="1039"/>
      <c r="D14" s="1040"/>
      <c r="E14" s="362" t="s">
        <v>640</v>
      </c>
      <c r="F14" s="361" t="s">
        <v>388</v>
      </c>
      <c r="G14" s="1032"/>
      <c r="H14" s="1030"/>
      <c r="I14" s="1030"/>
      <c r="J14" s="1030"/>
      <c r="K14" s="1030"/>
      <c r="L14" s="1030"/>
      <c r="M14" s="363">
        <f>배점기준!$H$2</f>
        <v>42039</v>
      </c>
      <c r="N14" s="359"/>
      <c r="O14" s="359"/>
      <c r="P14" s="360"/>
      <c r="Q14" s="359"/>
      <c r="R14" s="359"/>
      <c r="S14" s="359"/>
      <c r="T14" s="359"/>
      <c r="U14" s="359"/>
      <c r="V14" s="359"/>
      <c r="W14" s="359"/>
    </row>
    <row r="15" spans="1:23" s="356" customFormat="1" ht="30" customHeight="1">
      <c r="B15" s="364">
        <v>1</v>
      </c>
      <c r="C15" s="1023" t="s">
        <v>221</v>
      </c>
      <c r="D15" s="1024"/>
      <c r="E15" s="365">
        <v>42018</v>
      </c>
      <c r="F15" s="365">
        <v>42323</v>
      </c>
      <c r="G15" s="366">
        <f t="shared" ref="G15:G17" si="2">F15-E15+1</f>
        <v>306</v>
      </c>
      <c r="H15" s="367">
        <v>440</v>
      </c>
      <c r="I15" s="366">
        <f t="shared" ref="I15:I17" si="3">IF((F15-M14)&gt;=365,365,(F15-M14))</f>
        <v>284</v>
      </c>
      <c r="J15" s="366">
        <f>ROUND((H15*(I15/G15)/10),0)</f>
        <v>41</v>
      </c>
      <c r="K15" s="368"/>
      <c r="L15" s="368"/>
      <c r="M15" s="368"/>
      <c r="N15" s="359"/>
      <c r="O15" s="359"/>
      <c r="P15" s="360"/>
      <c r="Q15" s="359"/>
      <c r="R15" s="359"/>
      <c r="S15" s="359"/>
      <c r="T15" s="359"/>
      <c r="U15" s="359"/>
      <c r="V15" s="359"/>
      <c r="W15" s="359"/>
    </row>
    <row r="16" spans="1:23" s="356" customFormat="1" ht="30" customHeight="1">
      <c r="B16" s="364">
        <v>2</v>
      </c>
      <c r="C16" s="1023" t="s">
        <v>222</v>
      </c>
      <c r="D16" s="1024"/>
      <c r="E16" s="365">
        <v>42040</v>
      </c>
      <c r="F16" s="365">
        <v>42347</v>
      </c>
      <c r="G16" s="366">
        <f t="shared" si="2"/>
        <v>308</v>
      </c>
      <c r="H16" s="367">
        <v>403</v>
      </c>
      <c r="I16" s="366">
        <f t="shared" si="3"/>
        <v>365</v>
      </c>
      <c r="J16" s="366">
        <f>ROUND((H16*(I16/G16)/10),0)</f>
        <v>48</v>
      </c>
      <c r="K16" s="368"/>
      <c r="L16" s="368"/>
      <c r="M16" s="368"/>
      <c r="N16" s="359"/>
      <c r="O16" s="359"/>
      <c r="P16" s="360"/>
      <c r="Q16" s="359"/>
      <c r="R16" s="359"/>
      <c r="S16" s="359"/>
      <c r="T16" s="359"/>
      <c r="U16" s="359"/>
      <c r="V16" s="359"/>
      <c r="W16" s="359"/>
    </row>
    <row r="17" spans="2:23" s="356" customFormat="1" ht="30" customHeight="1">
      <c r="B17" s="364">
        <v>3</v>
      </c>
      <c r="C17" s="1023" t="s">
        <v>223</v>
      </c>
      <c r="D17" s="1024"/>
      <c r="E17" s="365">
        <v>42018</v>
      </c>
      <c r="F17" s="365">
        <v>42323</v>
      </c>
      <c r="G17" s="366">
        <f t="shared" si="2"/>
        <v>306</v>
      </c>
      <c r="H17" s="367">
        <v>440</v>
      </c>
      <c r="I17" s="366">
        <f t="shared" si="3"/>
        <v>365</v>
      </c>
      <c r="J17" s="366">
        <f>ROUND((H17*(I17/G17)/10),0)</f>
        <v>52</v>
      </c>
      <c r="K17" s="365"/>
      <c r="L17" s="364"/>
      <c r="M17" s="368"/>
      <c r="N17" s="359"/>
      <c r="O17" s="359"/>
      <c r="P17" s="360"/>
      <c r="Q17" s="359"/>
      <c r="R17" s="359"/>
      <c r="S17" s="359"/>
      <c r="T17" s="359"/>
      <c r="U17" s="359"/>
      <c r="V17" s="359"/>
      <c r="W17" s="359"/>
    </row>
    <row r="18" spans="2:23" s="356" customFormat="1" ht="30" customHeight="1">
      <c r="B18" s="1050" t="s">
        <v>39</v>
      </c>
      <c r="C18" s="1051"/>
      <c r="D18" s="1052"/>
      <c r="E18" s="369"/>
      <c r="F18" s="370"/>
      <c r="G18" s="371"/>
      <c r="H18" s="372"/>
      <c r="I18" s="373"/>
      <c r="J18" s="374">
        <f>(SUM(J15:J17))/100</f>
        <v>1.41</v>
      </c>
      <c r="K18" s="374">
        <f>IF((J18-2.5)&gt;=0,(J18-2.5),0)</f>
        <v>0</v>
      </c>
      <c r="L18" s="361"/>
      <c r="M18" s="375"/>
      <c r="N18" s="359"/>
      <c r="O18" s="359"/>
      <c r="P18" s="360"/>
      <c r="Q18" s="359"/>
      <c r="R18" s="359"/>
      <c r="S18" s="359"/>
      <c r="T18" s="359"/>
      <c r="U18" s="359"/>
      <c r="V18" s="359"/>
      <c r="W18" s="359"/>
    </row>
    <row r="19" spans="2:23" s="356" customFormat="1" ht="30" customHeight="1">
      <c r="B19" s="383"/>
      <c r="C19" s="377"/>
      <c r="D19" s="378"/>
      <c r="E19" s="378"/>
      <c r="F19" s="379"/>
      <c r="G19" s="380"/>
      <c r="H19" s="380"/>
      <c r="I19" s="381"/>
      <c r="J19" s="381"/>
      <c r="K19" s="376"/>
      <c r="L19" s="376"/>
      <c r="M19" s="376"/>
      <c r="N19" s="359"/>
      <c r="O19" s="359"/>
      <c r="P19" s="360"/>
      <c r="Q19" s="359"/>
      <c r="R19" s="359"/>
      <c r="S19" s="359"/>
      <c r="T19" s="359"/>
      <c r="U19" s="359"/>
      <c r="V19" s="359"/>
      <c r="W19" s="359"/>
    </row>
    <row r="20" spans="2:23" s="356" customFormat="1" ht="30" customHeight="1">
      <c r="B20" s="382"/>
      <c r="C20" s="833" t="str">
        <f>배점기준!$C$4</f>
        <v>수질관리</v>
      </c>
      <c r="D20" s="832" t="s">
        <v>225</v>
      </c>
      <c r="E20" s="1035" t="s">
        <v>228</v>
      </c>
      <c r="F20" s="1036"/>
      <c r="G20" s="357"/>
      <c r="H20" s="357"/>
      <c r="I20" s="358"/>
      <c r="J20" s="358"/>
      <c r="K20" s="357"/>
      <c r="L20" s="357"/>
      <c r="M20" s="357"/>
      <c r="N20" s="359"/>
      <c r="O20" s="359"/>
      <c r="P20" s="360"/>
      <c r="Q20" s="359"/>
      <c r="R20" s="359"/>
      <c r="S20" s="359"/>
      <c r="T20" s="359"/>
      <c r="U20" s="359"/>
      <c r="V20" s="359"/>
      <c r="W20" s="359"/>
    </row>
    <row r="21" spans="2:23" s="356" customFormat="1" ht="30" customHeight="1">
      <c r="B21" s="1029" t="s">
        <v>6</v>
      </c>
      <c r="C21" s="1037" t="s">
        <v>7</v>
      </c>
      <c r="D21" s="1038"/>
      <c r="E21" s="1033" t="s">
        <v>36</v>
      </c>
      <c r="F21" s="1034"/>
      <c r="G21" s="1031" t="s">
        <v>203</v>
      </c>
      <c r="H21" s="1029" t="s">
        <v>40</v>
      </c>
      <c r="I21" s="1029" t="s">
        <v>204</v>
      </c>
      <c r="J21" s="1029" t="s">
        <v>220</v>
      </c>
      <c r="K21" s="1029" t="s">
        <v>37</v>
      </c>
      <c r="L21" s="1029" t="s">
        <v>38</v>
      </c>
      <c r="M21" s="361" t="s">
        <v>645</v>
      </c>
      <c r="N21" s="359"/>
      <c r="O21" s="359"/>
      <c r="P21" s="360"/>
      <c r="Q21" s="359"/>
      <c r="R21" s="359"/>
      <c r="S21" s="359"/>
      <c r="T21" s="359"/>
      <c r="U21" s="359"/>
      <c r="V21" s="359"/>
      <c r="W21" s="359"/>
    </row>
    <row r="22" spans="2:23" s="356" customFormat="1" ht="30" customHeight="1">
      <c r="B22" s="1030"/>
      <c r="C22" s="1039"/>
      <c r="D22" s="1040"/>
      <c r="E22" s="362" t="s">
        <v>640</v>
      </c>
      <c r="F22" s="361" t="s">
        <v>388</v>
      </c>
      <c r="G22" s="1032"/>
      <c r="H22" s="1030"/>
      <c r="I22" s="1030"/>
      <c r="J22" s="1030"/>
      <c r="K22" s="1030"/>
      <c r="L22" s="1030"/>
      <c r="M22" s="363">
        <f>배점기준!$H$2</f>
        <v>42039</v>
      </c>
      <c r="N22" s="359"/>
      <c r="O22" s="359"/>
      <c r="P22" s="360"/>
      <c r="Q22" s="359"/>
      <c r="R22" s="359"/>
      <c r="S22" s="359"/>
      <c r="T22" s="359"/>
      <c r="U22" s="359"/>
      <c r="V22" s="359"/>
      <c r="W22" s="359"/>
    </row>
    <row r="23" spans="2:23" s="356" customFormat="1" ht="30" customHeight="1">
      <c r="B23" s="384">
        <v>1</v>
      </c>
      <c r="C23" s="1023" t="s">
        <v>205</v>
      </c>
      <c r="D23" s="1024"/>
      <c r="E23" s="365">
        <v>42018</v>
      </c>
      <c r="F23" s="365">
        <v>42323</v>
      </c>
      <c r="G23" s="366">
        <f t="shared" ref="G23:G25" si="4">F23-E23+1</f>
        <v>306</v>
      </c>
      <c r="H23" s="367">
        <v>440</v>
      </c>
      <c r="I23" s="366">
        <f t="shared" ref="I23:I25" si="5">IF((F23-M22)&gt;=365,365,(F23-M22))</f>
        <v>284</v>
      </c>
      <c r="J23" s="366">
        <f>ROUND((H23*(I23/G23)/10),0)</f>
        <v>41</v>
      </c>
      <c r="K23" s="368"/>
      <c r="L23" s="368"/>
      <c r="M23" s="368"/>
      <c r="N23" s="359"/>
      <c r="O23" s="359"/>
      <c r="P23" s="360"/>
      <c r="Q23" s="359"/>
      <c r="R23" s="359"/>
      <c r="S23" s="359"/>
      <c r="T23" s="359"/>
      <c r="U23" s="359"/>
      <c r="V23" s="359"/>
      <c r="W23" s="359"/>
    </row>
    <row r="24" spans="2:23" s="356" customFormat="1" ht="30" customHeight="1">
      <c r="B24" s="384">
        <v>2</v>
      </c>
      <c r="C24" s="1023" t="s">
        <v>206</v>
      </c>
      <c r="D24" s="1024"/>
      <c r="E24" s="365">
        <v>42040</v>
      </c>
      <c r="F24" s="365">
        <v>42347</v>
      </c>
      <c r="G24" s="366">
        <f t="shared" si="4"/>
        <v>308</v>
      </c>
      <c r="H24" s="367">
        <v>403</v>
      </c>
      <c r="I24" s="366">
        <f t="shared" si="5"/>
        <v>365</v>
      </c>
      <c r="J24" s="366">
        <f>ROUND((H24*(I24/G24)/10),0)</f>
        <v>48</v>
      </c>
      <c r="K24" s="368"/>
      <c r="L24" s="368"/>
      <c r="M24" s="368"/>
      <c r="N24" s="359"/>
      <c r="O24" s="359"/>
      <c r="P24" s="360"/>
      <c r="Q24" s="359"/>
      <c r="R24" s="359"/>
      <c r="S24" s="359"/>
      <c r="T24" s="359"/>
      <c r="U24" s="359"/>
      <c r="V24" s="359"/>
      <c r="W24" s="359"/>
    </row>
    <row r="25" spans="2:23" s="356" customFormat="1" ht="30" customHeight="1">
      <c r="B25" s="384">
        <v>3</v>
      </c>
      <c r="C25" s="1023" t="s">
        <v>205</v>
      </c>
      <c r="D25" s="1024"/>
      <c r="E25" s="365">
        <v>42018</v>
      </c>
      <c r="F25" s="365">
        <v>42323</v>
      </c>
      <c r="G25" s="366">
        <f t="shared" si="4"/>
        <v>306</v>
      </c>
      <c r="H25" s="367">
        <v>440</v>
      </c>
      <c r="I25" s="366">
        <f t="shared" si="5"/>
        <v>365</v>
      </c>
      <c r="J25" s="366">
        <f>ROUND((H25*(I25/G25)/10),0)</f>
        <v>52</v>
      </c>
      <c r="K25" s="365"/>
      <c r="L25" s="364"/>
      <c r="M25" s="368"/>
      <c r="N25" s="359"/>
      <c r="O25" s="359"/>
      <c r="P25" s="360"/>
      <c r="Q25" s="359"/>
      <c r="R25" s="359"/>
      <c r="S25" s="359"/>
      <c r="T25" s="359"/>
      <c r="U25" s="359"/>
      <c r="V25" s="359"/>
      <c r="W25" s="359"/>
    </row>
    <row r="26" spans="2:23" s="356" customFormat="1" ht="30" customHeight="1">
      <c r="B26" s="1025" t="s">
        <v>39</v>
      </c>
      <c r="C26" s="1026"/>
      <c r="D26" s="1027"/>
      <c r="E26" s="369"/>
      <c r="F26" s="370"/>
      <c r="G26" s="371"/>
      <c r="H26" s="372"/>
      <c r="I26" s="373"/>
      <c r="J26" s="374">
        <f>(SUM(J23:J25))/100</f>
        <v>1.41</v>
      </c>
      <c r="K26" s="374">
        <f>IF((J26-2.5)&gt;=0,(J26-2.5),0)</f>
        <v>0</v>
      </c>
      <c r="L26" s="361"/>
      <c r="M26" s="375"/>
      <c r="N26" s="359"/>
      <c r="O26" s="359"/>
      <c r="P26" s="360"/>
      <c r="Q26" s="359"/>
      <c r="R26" s="359"/>
      <c r="S26" s="359"/>
      <c r="T26" s="359"/>
      <c r="U26" s="359"/>
      <c r="V26" s="359"/>
      <c r="W26" s="359"/>
    </row>
    <row r="27" spans="2:23" s="356" customFormat="1" ht="30" customHeight="1">
      <c r="B27" s="383"/>
      <c r="C27" s="377"/>
      <c r="D27" s="378"/>
      <c r="E27" s="378"/>
      <c r="F27" s="379"/>
      <c r="G27" s="380"/>
      <c r="H27" s="380"/>
      <c r="I27" s="381"/>
      <c r="J27" s="381"/>
      <c r="K27" s="376"/>
      <c r="L27" s="376"/>
      <c r="M27" s="376"/>
      <c r="N27" s="359"/>
      <c r="O27" s="359"/>
      <c r="P27" s="360"/>
      <c r="Q27" s="359"/>
      <c r="R27" s="359"/>
      <c r="S27" s="359"/>
      <c r="T27" s="359"/>
      <c r="U27" s="359"/>
      <c r="V27" s="359"/>
      <c r="W27" s="359"/>
    </row>
    <row r="28" spans="2:23" s="356" customFormat="1" ht="30" customHeight="1">
      <c r="B28" s="382"/>
      <c r="C28" s="833" t="str">
        <f>배점기준!$C$5</f>
        <v>소음진동</v>
      </c>
      <c r="D28" s="832" t="s">
        <v>225</v>
      </c>
      <c r="E28" s="1035" t="s">
        <v>229</v>
      </c>
      <c r="F28" s="1036"/>
      <c r="G28" s="357"/>
      <c r="H28" s="357"/>
      <c r="I28" s="358"/>
      <c r="J28" s="358"/>
      <c r="K28" s="357"/>
      <c r="L28" s="357"/>
      <c r="M28" s="357"/>
      <c r="N28" s="359"/>
      <c r="O28" s="359"/>
      <c r="P28" s="360"/>
      <c r="Q28" s="359"/>
      <c r="R28" s="359"/>
      <c r="S28" s="359"/>
      <c r="T28" s="359"/>
      <c r="U28" s="359"/>
      <c r="V28" s="359"/>
      <c r="W28" s="359"/>
    </row>
    <row r="29" spans="2:23" s="835" customFormat="1" ht="30" customHeight="1">
      <c r="B29" s="1029" t="s">
        <v>6</v>
      </c>
      <c r="C29" s="1037" t="s">
        <v>7</v>
      </c>
      <c r="D29" s="1038"/>
      <c r="E29" s="1033" t="s">
        <v>36</v>
      </c>
      <c r="F29" s="1034"/>
      <c r="G29" s="1031" t="s">
        <v>203</v>
      </c>
      <c r="H29" s="1029" t="s">
        <v>40</v>
      </c>
      <c r="I29" s="1029" t="s">
        <v>204</v>
      </c>
      <c r="J29" s="1029" t="s">
        <v>220</v>
      </c>
      <c r="K29" s="1029" t="s">
        <v>37</v>
      </c>
      <c r="L29" s="1029" t="s">
        <v>38</v>
      </c>
      <c r="M29" s="361" t="s">
        <v>645</v>
      </c>
      <c r="N29" s="834"/>
      <c r="O29" s="834"/>
      <c r="P29" s="360"/>
      <c r="Q29" s="834"/>
      <c r="R29" s="834"/>
      <c r="S29" s="834"/>
      <c r="T29" s="834"/>
      <c r="U29" s="834"/>
      <c r="V29" s="834"/>
      <c r="W29" s="834"/>
    </row>
    <row r="30" spans="2:23" s="835" customFormat="1" ht="30" customHeight="1">
      <c r="B30" s="1030"/>
      <c r="C30" s="1039"/>
      <c r="D30" s="1040"/>
      <c r="E30" s="362" t="s">
        <v>640</v>
      </c>
      <c r="F30" s="361" t="s">
        <v>388</v>
      </c>
      <c r="G30" s="1032"/>
      <c r="H30" s="1030"/>
      <c r="I30" s="1030"/>
      <c r="J30" s="1030"/>
      <c r="K30" s="1030"/>
      <c r="L30" s="1030"/>
      <c r="M30" s="363">
        <f>배점기준!$H$2</f>
        <v>42039</v>
      </c>
      <c r="N30" s="834"/>
      <c r="O30" s="834"/>
      <c r="P30" s="360"/>
      <c r="Q30" s="834"/>
      <c r="R30" s="834"/>
      <c r="S30" s="834"/>
      <c r="T30" s="834"/>
      <c r="U30" s="834"/>
      <c r="V30" s="834"/>
      <c r="W30" s="834"/>
    </row>
    <row r="31" spans="2:23" s="356" customFormat="1" ht="30" customHeight="1">
      <c r="B31" s="384">
        <v>1</v>
      </c>
      <c r="C31" s="1023" t="s">
        <v>205</v>
      </c>
      <c r="D31" s="1024"/>
      <c r="E31" s="365">
        <v>42018</v>
      </c>
      <c r="F31" s="365">
        <v>42323</v>
      </c>
      <c r="G31" s="366">
        <f>F31-E31</f>
        <v>305</v>
      </c>
      <c r="H31" s="367">
        <v>440</v>
      </c>
      <c r="I31" s="366">
        <f t="shared" ref="I31:I33" si="6">IF((F31-M30)&gt;=365,365,(F31-M30))</f>
        <v>284</v>
      </c>
      <c r="J31" s="366">
        <f>ROUND((H31*(I31/G31)/10),0)</f>
        <v>41</v>
      </c>
      <c r="K31" s="368"/>
      <c r="L31" s="368"/>
      <c r="M31" s="368"/>
      <c r="N31" s="359"/>
      <c r="O31" s="359"/>
      <c r="P31" s="360"/>
      <c r="Q31" s="359"/>
      <c r="R31" s="359"/>
      <c r="S31" s="359"/>
      <c r="T31" s="359"/>
      <c r="U31" s="359"/>
      <c r="V31" s="359"/>
      <c r="W31" s="359"/>
    </row>
    <row r="32" spans="2:23" s="356" customFormat="1" ht="30" customHeight="1">
      <c r="B32" s="384">
        <v>2</v>
      </c>
      <c r="C32" s="1023" t="s">
        <v>206</v>
      </c>
      <c r="D32" s="1024"/>
      <c r="E32" s="365">
        <v>42040</v>
      </c>
      <c r="F32" s="365">
        <v>42347</v>
      </c>
      <c r="G32" s="366">
        <f>F32-E32</f>
        <v>307</v>
      </c>
      <c r="H32" s="367">
        <v>403</v>
      </c>
      <c r="I32" s="366">
        <f t="shared" si="6"/>
        <v>365</v>
      </c>
      <c r="J32" s="366">
        <f>ROUND((H32*(I32/G32)/10),0)</f>
        <v>48</v>
      </c>
      <c r="K32" s="368"/>
      <c r="L32" s="368"/>
      <c r="M32" s="368"/>
      <c r="N32" s="359"/>
      <c r="O32" s="359"/>
      <c r="P32" s="360"/>
      <c r="Q32" s="359"/>
      <c r="R32" s="359"/>
      <c r="S32" s="359"/>
      <c r="T32" s="359"/>
      <c r="U32" s="359"/>
      <c r="V32" s="359"/>
      <c r="W32" s="359"/>
    </row>
    <row r="33" spans="2:23" s="356" customFormat="1" ht="30" customHeight="1">
      <c r="B33" s="384">
        <v>3</v>
      </c>
      <c r="C33" s="1023" t="s">
        <v>205</v>
      </c>
      <c r="D33" s="1024"/>
      <c r="E33" s="365">
        <v>42018</v>
      </c>
      <c r="F33" s="365">
        <v>42323</v>
      </c>
      <c r="G33" s="366">
        <f>F33-E33</f>
        <v>305</v>
      </c>
      <c r="H33" s="367">
        <v>440</v>
      </c>
      <c r="I33" s="366">
        <f t="shared" si="6"/>
        <v>365</v>
      </c>
      <c r="J33" s="366">
        <f>ROUND((H33*(I33/G33)/10),0)</f>
        <v>53</v>
      </c>
      <c r="K33" s="365"/>
      <c r="L33" s="364"/>
      <c r="M33" s="368"/>
      <c r="N33" s="359"/>
      <c r="O33" s="359"/>
      <c r="P33" s="360"/>
      <c r="Q33" s="359"/>
      <c r="R33" s="359"/>
      <c r="S33" s="359"/>
      <c r="T33" s="359"/>
      <c r="U33" s="359"/>
      <c r="V33" s="359"/>
      <c r="W33" s="359"/>
    </row>
    <row r="34" spans="2:23" s="356" customFormat="1" ht="30" customHeight="1">
      <c r="B34" s="1025" t="s">
        <v>39</v>
      </c>
      <c r="C34" s="1026"/>
      <c r="D34" s="1027"/>
      <c r="E34" s="369"/>
      <c r="F34" s="370"/>
      <c r="G34" s="371"/>
      <c r="H34" s="372"/>
      <c r="I34" s="373"/>
      <c r="J34" s="374">
        <f>(SUM(J31:J33))/100</f>
        <v>1.42</v>
      </c>
      <c r="K34" s="374">
        <f>IF((J34-2.5)&gt;=0,(J34-2.5),0)</f>
        <v>0</v>
      </c>
      <c r="L34" s="361"/>
      <c r="M34" s="375"/>
      <c r="N34" s="359"/>
      <c r="O34" s="359"/>
      <c r="P34" s="360"/>
      <c r="Q34" s="359"/>
      <c r="R34" s="359"/>
      <c r="S34" s="359"/>
      <c r="T34" s="359"/>
      <c r="U34" s="359"/>
      <c r="V34" s="359"/>
      <c r="W34" s="359"/>
    </row>
    <row r="35" spans="2:23" s="356" customFormat="1" ht="30" customHeight="1">
      <c r="B35" s="383"/>
      <c r="C35" s="377"/>
      <c r="D35" s="378"/>
      <c r="E35" s="378"/>
      <c r="F35" s="379"/>
      <c r="G35" s="380"/>
      <c r="H35" s="380"/>
      <c r="I35" s="381"/>
      <c r="J35" s="381"/>
      <c r="K35" s="376"/>
      <c r="L35" s="376"/>
      <c r="M35" s="376"/>
      <c r="N35" s="359"/>
      <c r="O35" s="359"/>
      <c r="P35" s="360"/>
      <c r="Q35" s="359"/>
      <c r="R35" s="359"/>
      <c r="S35" s="359"/>
      <c r="T35" s="359"/>
      <c r="U35" s="359"/>
      <c r="V35" s="359"/>
      <c r="W35" s="359"/>
    </row>
    <row r="36" spans="2:23" s="356" customFormat="1" ht="30" customHeight="1">
      <c r="B36" s="382"/>
      <c r="C36" s="833" t="str">
        <f>배점기준!$C$6</f>
        <v>폐기물처리</v>
      </c>
      <c r="D36" s="832" t="s">
        <v>225</v>
      </c>
      <c r="E36" s="1035" t="s">
        <v>230</v>
      </c>
      <c r="F36" s="1036"/>
      <c r="G36" s="357"/>
      <c r="H36" s="357"/>
      <c r="I36" s="358"/>
      <c r="J36" s="358"/>
      <c r="K36" s="357"/>
      <c r="L36" s="357"/>
      <c r="M36" s="357"/>
      <c r="N36" s="359"/>
      <c r="O36" s="359"/>
      <c r="P36" s="360"/>
      <c r="Q36" s="359"/>
      <c r="R36" s="359"/>
      <c r="S36" s="359"/>
      <c r="T36" s="359"/>
      <c r="U36" s="359"/>
      <c r="V36" s="359"/>
      <c r="W36" s="359"/>
    </row>
    <row r="37" spans="2:23" s="356" customFormat="1" ht="30" customHeight="1">
      <c r="B37" s="1029" t="s">
        <v>6</v>
      </c>
      <c r="C37" s="1037" t="s">
        <v>7</v>
      </c>
      <c r="D37" s="1038"/>
      <c r="E37" s="1033" t="s">
        <v>36</v>
      </c>
      <c r="F37" s="1034"/>
      <c r="G37" s="1031" t="s">
        <v>203</v>
      </c>
      <c r="H37" s="1029" t="s">
        <v>40</v>
      </c>
      <c r="I37" s="1029" t="s">
        <v>204</v>
      </c>
      <c r="J37" s="1029" t="s">
        <v>220</v>
      </c>
      <c r="K37" s="1029" t="s">
        <v>37</v>
      </c>
      <c r="L37" s="1029" t="s">
        <v>38</v>
      </c>
      <c r="M37" s="361" t="s">
        <v>645</v>
      </c>
      <c r="N37" s="359"/>
      <c r="O37" s="359"/>
      <c r="P37" s="360"/>
      <c r="Q37" s="359"/>
      <c r="R37" s="359"/>
      <c r="S37" s="359"/>
      <c r="T37" s="359"/>
      <c r="U37" s="359"/>
      <c r="V37" s="359"/>
      <c r="W37" s="359"/>
    </row>
    <row r="38" spans="2:23" s="356" customFormat="1" ht="30" customHeight="1">
      <c r="B38" s="1030"/>
      <c r="C38" s="1039"/>
      <c r="D38" s="1040"/>
      <c r="E38" s="362" t="s">
        <v>640</v>
      </c>
      <c r="F38" s="361" t="s">
        <v>388</v>
      </c>
      <c r="G38" s="1032"/>
      <c r="H38" s="1030"/>
      <c r="I38" s="1030"/>
      <c r="J38" s="1030"/>
      <c r="K38" s="1030"/>
      <c r="L38" s="1030"/>
      <c r="M38" s="363">
        <f>배점기준!$H$2</f>
        <v>42039</v>
      </c>
      <c r="N38" s="359"/>
      <c r="O38" s="359"/>
      <c r="P38" s="360"/>
      <c r="Q38" s="359"/>
      <c r="R38" s="359"/>
      <c r="S38" s="359"/>
      <c r="T38" s="359"/>
      <c r="U38" s="359"/>
      <c r="V38" s="359"/>
      <c r="W38" s="359"/>
    </row>
    <row r="39" spans="2:23" s="356" customFormat="1" ht="30" customHeight="1">
      <c r="B39" s="384">
        <v>1</v>
      </c>
      <c r="C39" s="1023" t="s">
        <v>205</v>
      </c>
      <c r="D39" s="1024"/>
      <c r="E39" s="365">
        <v>42018</v>
      </c>
      <c r="F39" s="365">
        <v>42323</v>
      </c>
      <c r="G39" s="366">
        <f t="shared" ref="G39:G41" si="7">F39-E39+1</f>
        <v>306</v>
      </c>
      <c r="H39" s="367">
        <v>440</v>
      </c>
      <c r="I39" s="366">
        <f t="shared" ref="I39:I41" si="8">IF((F39-M38)&gt;=365,365,(F39-M38))</f>
        <v>284</v>
      </c>
      <c r="J39" s="366">
        <f>ROUND((H39*(I39/G39)/10),0)</f>
        <v>41</v>
      </c>
      <c r="K39" s="368"/>
      <c r="L39" s="368"/>
      <c r="M39" s="368"/>
      <c r="N39" s="359"/>
      <c r="O39" s="359"/>
      <c r="P39" s="360"/>
      <c r="Q39" s="359"/>
      <c r="R39" s="359"/>
      <c r="S39" s="359"/>
      <c r="T39" s="359"/>
      <c r="U39" s="359"/>
      <c r="V39" s="359"/>
      <c r="W39" s="359"/>
    </row>
    <row r="40" spans="2:23" s="356" customFormat="1" ht="30" customHeight="1">
      <c r="B40" s="384">
        <v>2</v>
      </c>
      <c r="C40" s="1023" t="s">
        <v>206</v>
      </c>
      <c r="D40" s="1024"/>
      <c r="E40" s="365">
        <v>42040</v>
      </c>
      <c r="F40" s="365">
        <v>42347</v>
      </c>
      <c r="G40" s="366">
        <f t="shared" si="7"/>
        <v>308</v>
      </c>
      <c r="H40" s="367">
        <v>403</v>
      </c>
      <c r="I40" s="366">
        <f t="shared" si="8"/>
        <v>365</v>
      </c>
      <c r="J40" s="366">
        <f>ROUND((H40*(I40/G40)/10),0)</f>
        <v>48</v>
      </c>
      <c r="K40" s="368"/>
      <c r="L40" s="368"/>
      <c r="M40" s="368"/>
      <c r="N40" s="359"/>
      <c r="O40" s="359"/>
      <c r="P40" s="360"/>
      <c r="Q40" s="359"/>
      <c r="R40" s="359"/>
      <c r="S40" s="359"/>
      <c r="T40" s="359"/>
      <c r="U40" s="359"/>
      <c r="V40" s="359"/>
      <c r="W40" s="359"/>
    </row>
    <row r="41" spans="2:23" s="356" customFormat="1" ht="30" customHeight="1">
      <c r="B41" s="384">
        <v>3</v>
      </c>
      <c r="C41" s="1023" t="s">
        <v>205</v>
      </c>
      <c r="D41" s="1024"/>
      <c r="E41" s="365">
        <v>42018</v>
      </c>
      <c r="F41" s="365">
        <v>42323</v>
      </c>
      <c r="G41" s="366">
        <f t="shared" si="7"/>
        <v>306</v>
      </c>
      <c r="H41" s="367">
        <v>440</v>
      </c>
      <c r="I41" s="366">
        <f t="shared" si="8"/>
        <v>365</v>
      </c>
      <c r="J41" s="366">
        <f>ROUND((H41*(I41/G41)/10),0)</f>
        <v>52</v>
      </c>
      <c r="K41" s="365"/>
      <c r="L41" s="364"/>
      <c r="M41" s="368"/>
      <c r="N41" s="359"/>
      <c r="O41" s="359"/>
      <c r="P41" s="360"/>
      <c r="Q41" s="359"/>
      <c r="R41" s="359"/>
      <c r="S41" s="359"/>
      <c r="T41" s="359"/>
      <c r="U41" s="359"/>
      <c r="V41" s="359"/>
      <c r="W41" s="359"/>
    </row>
    <row r="42" spans="2:23" s="356" customFormat="1" ht="30" customHeight="1">
      <c r="B42" s="1025" t="s">
        <v>39</v>
      </c>
      <c r="C42" s="1026"/>
      <c r="D42" s="1027"/>
      <c r="E42" s="385"/>
      <c r="F42" s="386"/>
      <c r="G42" s="387"/>
      <c r="H42" s="388"/>
      <c r="I42" s="373"/>
      <c r="J42" s="374">
        <f>(SUM(J39:J41))/100</f>
        <v>1.41</v>
      </c>
      <c r="K42" s="374">
        <f>IF((J42-2.5)&gt;=0,(J42-2.5),0)</f>
        <v>0</v>
      </c>
      <c r="L42" s="361"/>
      <c r="M42" s="375"/>
      <c r="N42" s="359"/>
      <c r="O42" s="359"/>
      <c r="P42" s="360"/>
      <c r="Q42" s="359"/>
      <c r="R42" s="359"/>
      <c r="S42" s="359"/>
      <c r="T42" s="359"/>
      <c r="U42" s="359"/>
      <c r="V42" s="359"/>
      <c r="W42" s="359"/>
    </row>
    <row r="43" spans="2:23" s="356" customFormat="1" ht="30" customHeight="1">
      <c r="B43" s="383"/>
      <c r="C43" s="377"/>
      <c r="D43" s="378"/>
      <c r="E43" s="378"/>
      <c r="F43" s="379"/>
      <c r="G43" s="380"/>
      <c r="H43" s="380"/>
      <c r="I43" s="381"/>
      <c r="J43" s="381"/>
      <c r="K43" s="376"/>
      <c r="L43" s="376"/>
      <c r="M43" s="376"/>
      <c r="N43" s="359"/>
      <c r="O43" s="359"/>
      <c r="P43" s="360"/>
      <c r="Q43" s="359"/>
      <c r="R43" s="359"/>
      <c r="S43" s="359"/>
      <c r="T43" s="359"/>
      <c r="U43" s="359"/>
      <c r="V43" s="359"/>
      <c r="W43" s="359"/>
    </row>
    <row r="44" spans="2:23" s="356" customFormat="1" ht="30" customHeight="1">
      <c r="B44" s="382"/>
      <c r="C44" s="833">
        <f>배점기준!$C$7</f>
        <v>0</v>
      </c>
      <c r="D44" s="832" t="s">
        <v>225</v>
      </c>
      <c r="E44" s="1035" t="s">
        <v>231</v>
      </c>
      <c r="F44" s="1036"/>
      <c r="G44" s="357"/>
      <c r="H44" s="357"/>
      <c r="I44" s="358"/>
      <c r="J44" s="358"/>
      <c r="K44" s="357"/>
      <c r="L44" s="357"/>
      <c r="M44" s="357"/>
      <c r="N44" s="359"/>
      <c r="O44" s="359"/>
      <c r="P44" s="360"/>
      <c r="Q44" s="359"/>
      <c r="R44" s="359"/>
      <c r="S44" s="359"/>
      <c r="T44" s="359"/>
      <c r="U44" s="359"/>
      <c r="V44" s="359"/>
      <c r="W44" s="359"/>
    </row>
    <row r="45" spans="2:23" s="356" customFormat="1" ht="30" customHeight="1">
      <c r="B45" s="1029" t="s">
        <v>6</v>
      </c>
      <c r="C45" s="1037" t="s">
        <v>7</v>
      </c>
      <c r="D45" s="1038"/>
      <c r="E45" s="1033" t="s">
        <v>36</v>
      </c>
      <c r="F45" s="1034"/>
      <c r="G45" s="1031" t="s">
        <v>203</v>
      </c>
      <c r="H45" s="1029" t="s">
        <v>40</v>
      </c>
      <c r="I45" s="1029" t="s">
        <v>204</v>
      </c>
      <c r="J45" s="1029" t="s">
        <v>220</v>
      </c>
      <c r="K45" s="1029" t="s">
        <v>37</v>
      </c>
      <c r="L45" s="1029" t="s">
        <v>38</v>
      </c>
      <c r="M45" s="361" t="s">
        <v>645</v>
      </c>
      <c r="N45" s="359"/>
      <c r="O45" s="359"/>
      <c r="P45" s="360"/>
      <c r="Q45" s="359"/>
      <c r="R45" s="359"/>
      <c r="S45" s="359"/>
      <c r="T45" s="359"/>
      <c r="U45" s="359"/>
      <c r="V45" s="359"/>
      <c r="W45" s="359"/>
    </row>
    <row r="46" spans="2:23" s="356" customFormat="1" ht="30" customHeight="1">
      <c r="B46" s="1030"/>
      <c r="C46" s="1039"/>
      <c r="D46" s="1040"/>
      <c r="E46" s="362" t="s">
        <v>640</v>
      </c>
      <c r="F46" s="361" t="s">
        <v>388</v>
      </c>
      <c r="G46" s="1032"/>
      <c r="H46" s="1030"/>
      <c r="I46" s="1030"/>
      <c r="J46" s="1030"/>
      <c r="K46" s="1030"/>
      <c r="L46" s="1030"/>
      <c r="M46" s="363">
        <f>배점기준!$H$2</f>
        <v>42039</v>
      </c>
      <c r="N46" s="359"/>
      <c r="O46" s="359"/>
      <c r="P46" s="360"/>
      <c r="Q46" s="359"/>
      <c r="R46" s="359"/>
      <c r="S46" s="359"/>
      <c r="T46" s="359"/>
      <c r="U46" s="359"/>
      <c r="V46" s="359"/>
      <c r="W46" s="359"/>
    </row>
    <row r="47" spans="2:23" s="356" customFormat="1" ht="30" customHeight="1">
      <c r="B47" s="384">
        <v>1</v>
      </c>
      <c r="C47" s="1023" t="s">
        <v>205</v>
      </c>
      <c r="D47" s="1024"/>
      <c r="E47" s="365">
        <v>42018</v>
      </c>
      <c r="F47" s="365">
        <v>42323</v>
      </c>
      <c r="G47" s="366">
        <f t="shared" ref="G47:G49" si="9">F47-E47+1</f>
        <v>306</v>
      </c>
      <c r="H47" s="367">
        <v>440</v>
      </c>
      <c r="I47" s="366">
        <f t="shared" ref="I47:I49" si="10">IF((F47-M46)&gt;=365,365,(F47-M46))</f>
        <v>284</v>
      </c>
      <c r="J47" s="366">
        <f>ROUND((H47*(I47/G47)/10),0)</f>
        <v>41</v>
      </c>
      <c r="K47" s="368"/>
      <c r="L47" s="368"/>
      <c r="M47" s="368"/>
      <c r="N47" s="359"/>
      <c r="O47" s="359"/>
      <c r="P47" s="360"/>
      <c r="Q47" s="359"/>
      <c r="R47" s="359"/>
      <c r="S47" s="359"/>
      <c r="T47" s="359"/>
      <c r="U47" s="359"/>
      <c r="V47" s="359"/>
      <c r="W47" s="359"/>
    </row>
    <row r="48" spans="2:23" s="356" customFormat="1" ht="30" customHeight="1">
      <c r="B48" s="384">
        <v>2</v>
      </c>
      <c r="C48" s="1023" t="s">
        <v>206</v>
      </c>
      <c r="D48" s="1024"/>
      <c r="E48" s="365">
        <v>42040</v>
      </c>
      <c r="F48" s="365">
        <v>42347</v>
      </c>
      <c r="G48" s="366">
        <f t="shared" si="9"/>
        <v>308</v>
      </c>
      <c r="H48" s="367">
        <v>403</v>
      </c>
      <c r="I48" s="366">
        <f t="shared" si="10"/>
        <v>365</v>
      </c>
      <c r="J48" s="366">
        <f>ROUND((H48*(I48/G48)/10),0)</f>
        <v>48</v>
      </c>
      <c r="K48" s="368"/>
      <c r="L48" s="368"/>
      <c r="M48" s="368"/>
      <c r="N48" s="359"/>
      <c r="O48" s="359"/>
      <c r="P48" s="360"/>
      <c r="Q48" s="359"/>
      <c r="R48" s="359"/>
      <c r="S48" s="359"/>
      <c r="T48" s="359"/>
      <c r="U48" s="359"/>
      <c r="V48" s="359"/>
      <c r="W48" s="359"/>
    </row>
    <row r="49" spans="1:26" s="356" customFormat="1" ht="30" customHeight="1">
      <c r="B49" s="384">
        <v>3</v>
      </c>
      <c r="C49" s="1023" t="s">
        <v>205</v>
      </c>
      <c r="D49" s="1024"/>
      <c r="E49" s="365">
        <v>42018</v>
      </c>
      <c r="F49" s="365">
        <v>42323</v>
      </c>
      <c r="G49" s="366">
        <f t="shared" si="9"/>
        <v>306</v>
      </c>
      <c r="H49" s="367">
        <v>440</v>
      </c>
      <c r="I49" s="366">
        <f t="shared" si="10"/>
        <v>365</v>
      </c>
      <c r="J49" s="366">
        <f>ROUND((H49*(I49/G49)/10),0)</f>
        <v>52</v>
      </c>
      <c r="K49" s="365"/>
      <c r="L49" s="364"/>
      <c r="M49" s="368"/>
      <c r="N49" s="359"/>
      <c r="O49" s="359"/>
      <c r="P49" s="360"/>
      <c r="Q49" s="359"/>
      <c r="R49" s="359"/>
      <c r="S49" s="359"/>
      <c r="T49" s="359"/>
      <c r="U49" s="359"/>
      <c r="V49" s="359"/>
      <c r="W49" s="359"/>
    </row>
    <row r="50" spans="1:26" s="356" customFormat="1" ht="30" customHeight="1">
      <c r="B50" s="1025" t="s">
        <v>39</v>
      </c>
      <c r="C50" s="1026"/>
      <c r="D50" s="1027"/>
      <c r="E50" s="385"/>
      <c r="F50" s="386"/>
      <c r="G50" s="387"/>
      <c r="H50" s="388"/>
      <c r="I50" s="373"/>
      <c r="J50" s="374">
        <f>(SUM(J47:J49))/100</f>
        <v>1.41</v>
      </c>
      <c r="K50" s="374">
        <f>IF((J50-2.5)&gt;=0,(J50-2.5),0)</f>
        <v>0</v>
      </c>
      <c r="L50" s="361"/>
      <c r="M50" s="375"/>
      <c r="N50" s="359"/>
      <c r="O50" s="359"/>
      <c r="P50" s="360"/>
      <c r="Q50" s="359"/>
      <c r="R50" s="359"/>
      <c r="S50" s="359"/>
      <c r="T50" s="359"/>
      <c r="U50" s="359"/>
      <c r="V50" s="359"/>
      <c r="W50" s="359"/>
    </row>
    <row r="51" spans="1:26" s="356" customFormat="1" ht="30" customHeight="1">
      <c r="B51" s="383"/>
      <c r="C51" s="377"/>
      <c r="D51" s="378"/>
      <c r="E51" s="378"/>
      <c r="F51" s="379"/>
      <c r="G51" s="380"/>
      <c r="H51" s="380"/>
      <c r="I51" s="381"/>
      <c r="J51" s="381"/>
      <c r="K51" s="376"/>
      <c r="L51" s="376"/>
      <c r="M51" s="376"/>
      <c r="N51" s="359"/>
      <c r="O51" s="359"/>
      <c r="P51" s="360"/>
      <c r="Q51" s="359"/>
      <c r="R51" s="359"/>
      <c r="S51" s="359"/>
      <c r="T51" s="359"/>
      <c r="U51" s="359"/>
      <c r="V51" s="359"/>
      <c r="W51" s="359"/>
    </row>
    <row r="52" spans="1:26" s="356" customFormat="1" ht="30" customHeight="1">
      <c r="B52" s="382"/>
      <c r="C52" s="833">
        <f>배점기준!$C$8</f>
        <v>0</v>
      </c>
      <c r="D52" s="832" t="s">
        <v>225</v>
      </c>
      <c r="E52" s="1035" t="s">
        <v>232</v>
      </c>
      <c r="F52" s="1036"/>
      <c r="G52" s="357"/>
      <c r="H52" s="357"/>
      <c r="I52" s="358"/>
      <c r="J52" s="358"/>
      <c r="K52" s="357"/>
      <c r="L52" s="357"/>
      <c r="M52" s="357"/>
      <c r="N52" s="359"/>
      <c r="O52" s="359"/>
      <c r="P52" s="360"/>
      <c r="Q52" s="359"/>
      <c r="R52" s="359"/>
      <c r="S52" s="359"/>
      <c r="T52" s="359"/>
      <c r="U52" s="359"/>
      <c r="V52" s="359"/>
      <c r="W52" s="359"/>
    </row>
    <row r="53" spans="1:26" s="356" customFormat="1" ht="30" customHeight="1">
      <c r="B53" s="1029" t="s">
        <v>6</v>
      </c>
      <c r="C53" s="1037" t="s">
        <v>7</v>
      </c>
      <c r="D53" s="1038"/>
      <c r="E53" s="1033" t="s">
        <v>36</v>
      </c>
      <c r="F53" s="1034"/>
      <c r="G53" s="1031" t="s">
        <v>203</v>
      </c>
      <c r="H53" s="1029" t="s">
        <v>40</v>
      </c>
      <c r="I53" s="1029" t="s">
        <v>204</v>
      </c>
      <c r="J53" s="1029" t="s">
        <v>220</v>
      </c>
      <c r="K53" s="1029" t="s">
        <v>37</v>
      </c>
      <c r="L53" s="1029" t="s">
        <v>38</v>
      </c>
      <c r="M53" s="361" t="s">
        <v>645</v>
      </c>
      <c r="N53" s="359"/>
      <c r="O53" s="359"/>
      <c r="P53" s="360"/>
      <c r="Q53" s="359"/>
      <c r="R53" s="359"/>
      <c r="S53" s="359"/>
      <c r="T53" s="359"/>
      <c r="U53" s="359"/>
      <c r="V53" s="359"/>
      <c r="W53" s="359"/>
    </row>
    <row r="54" spans="1:26" s="356" customFormat="1" ht="30" customHeight="1">
      <c r="B54" s="1030"/>
      <c r="C54" s="1039"/>
      <c r="D54" s="1040"/>
      <c r="E54" s="362" t="s">
        <v>640</v>
      </c>
      <c r="F54" s="361" t="s">
        <v>388</v>
      </c>
      <c r="G54" s="1032"/>
      <c r="H54" s="1030"/>
      <c r="I54" s="1030"/>
      <c r="J54" s="1030"/>
      <c r="K54" s="1030"/>
      <c r="L54" s="1030"/>
      <c r="M54" s="363">
        <f>배점기준!$H$2</f>
        <v>42039</v>
      </c>
      <c r="N54" s="359"/>
      <c r="O54" s="359"/>
      <c r="P54" s="360"/>
      <c r="Q54" s="359"/>
      <c r="R54" s="359"/>
      <c r="S54" s="359"/>
      <c r="T54" s="359"/>
      <c r="U54" s="359"/>
      <c r="V54" s="359"/>
      <c r="W54" s="359"/>
    </row>
    <row r="55" spans="1:26" s="356" customFormat="1" ht="30" customHeight="1">
      <c r="B55" s="384">
        <v>1</v>
      </c>
      <c r="C55" s="1023" t="s">
        <v>205</v>
      </c>
      <c r="D55" s="1024"/>
      <c r="E55" s="365">
        <v>42018</v>
      </c>
      <c r="F55" s="365">
        <v>42323</v>
      </c>
      <c r="G55" s="366">
        <f t="shared" ref="G55:G57" si="11">F55-E55+1</f>
        <v>306</v>
      </c>
      <c r="H55" s="367">
        <v>440</v>
      </c>
      <c r="I55" s="366">
        <f t="shared" ref="I55:I57" si="12">IF((F55-M54)&gt;=365,365,(F55-M54))</f>
        <v>284</v>
      </c>
      <c r="J55" s="366">
        <f>ROUND((H55*(I55/G55)/10),0)</f>
        <v>41</v>
      </c>
      <c r="K55" s="368"/>
      <c r="L55" s="368"/>
      <c r="M55" s="368"/>
      <c r="N55" s="359"/>
      <c r="O55" s="359"/>
      <c r="P55" s="360"/>
      <c r="Q55" s="359"/>
      <c r="R55" s="359"/>
      <c r="S55" s="359"/>
      <c r="T55" s="359"/>
      <c r="U55" s="359"/>
      <c r="V55" s="359"/>
      <c r="W55" s="359"/>
    </row>
    <row r="56" spans="1:26" s="356" customFormat="1" ht="30" customHeight="1">
      <c r="B56" s="384">
        <v>2</v>
      </c>
      <c r="C56" s="1023" t="s">
        <v>206</v>
      </c>
      <c r="D56" s="1024"/>
      <c r="E56" s="365">
        <v>42040</v>
      </c>
      <c r="F56" s="365">
        <v>42347</v>
      </c>
      <c r="G56" s="366">
        <f t="shared" si="11"/>
        <v>308</v>
      </c>
      <c r="H56" s="367">
        <v>403</v>
      </c>
      <c r="I56" s="366">
        <f t="shared" si="12"/>
        <v>365</v>
      </c>
      <c r="J56" s="366">
        <f>ROUND((H56*(I56/G56)/10),0)</f>
        <v>48</v>
      </c>
      <c r="K56" s="368"/>
      <c r="L56" s="368"/>
      <c r="M56" s="368"/>
      <c r="N56" s="359"/>
      <c r="O56" s="359"/>
      <c r="P56" s="360"/>
      <c r="Q56" s="359"/>
      <c r="R56" s="359"/>
      <c r="S56" s="359"/>
      <c r="T56" s="359"/>
      <c r="U56" s="359"/>
      <c r="V56" s="359"/>
      <c r="W56" s="359"/>
    </row>
    <row r="57" spans="1:26" s="356" customFormat="1" ht="30" customHeight="1">
      <c r="B57" s="384">
        <v>3</v>
      </c>
      <c r="C57" s="1023" t="s">
        <v>205</v>
      </c>
      <c r="D57" s="1024"/>
      <c r="E57" s="365">
        <v>42018</v>
      </c>
      <c r="F57" s="365">
        <v>42323</v>
      </c>
      <c r="G57" s="366">
        <f t="shared" si="11"/>
        <v>306</v>
      </c>
      <c r="H57" s="367">
        <v>440</v>
      </c>
      <c r="I57" s="366">
        <f t="shared" si="12"/>
        <v>365</v>
      </c>
      <c r="J57" s="366">
        <f>ROUND((H57*(I57/G57)/10),0)</f>
        <v>52</v>
      </c>
      <c r="K57" s="365"/>
      <c r="L57" s="364"/>
      <c r="M57" s="368"/>
      <c r="N57" s="359"/>
      <c r="O57" s="359"/>
      <c r="P57" s="360"/>
      <c r="Q57" s="359"/>
      <c r="R57" s="359"/>
      <c r="S57" s="359"/>
      <c r="T57" s="359"/>
      <c r="U57" s="359"/>
      <c r="V57" s="359"/>
      <c r="W57" s="359"/>
    </row>
    <row r="58" spans="1:26" s="356" customFormat="1" ht="30" customHeight="1">
      <c r="B58" s="1041" t="s">
        <v>39</v>
      </c>
      <c r="C58" s="1042"/>
      <c r="D58" s="1043"/>
      <c r="E58" s="369"/>
      <c r="F58" s="370"/>
      <c r="G58" s="371"/>
      <c r="H58" s="372"/>
      <c r="I58" s="373"/>
      <c r="J58" s="374">
        <f>(SUM(J55:J57))/100</f>
        <v>1.41</v>
      </c>
      <c r="K58" s="374">
        <f>IF((J58-2.5)&gt;=0,(J58-2.5),0)</f>
        <v>0</v>
      </c>
      <c r="L58" s="361"/>
      <c r="M58" s="375"/>
      <c r="N58" s="359"/>
      <c r="O58" s="359"/>
      <c r="P58" s="360"/>
      <c r="Q58" s="359"/>
      <c r="R58" s="359"/>
      <c r="S58" s="359"/>
      <c r="T58" s="359"/>
      <c r="U58" s="359"/>
      <c r="V58" s="359"/>
      <c r="W58" s="359"/>
    </row>
    <row r="59" spans="1:26" s="356" customFormat="1" ht="30" customHeight="1">
      <c r="B59" s="383"/>
      <c r="C59" s="377"/>
      <c r="D59" s="378"/>
      <c r="E59" s="378"/>
      <c r="F59" s="379"/>
      <c r="G59" s="380"/>
      <c r="H59" s="380"/>
      <c r="I59" s="381"/>
      <c r="J59" s="381"/>
      <c r="K59" s="376"/>
      <c r="L59" s="376"/>
      <c r="M59" s="376"/>
      <c r="N59" s="359"/>
      <c r="O59" s="389"/>
      <c r="P59" s="360"/>
      <c r="Q59" s="359"/>
      <c r="R59" s="359"/>
      <c r="S59" s="359"/>
      <c r="T59" s="359"/>
      <c r="U59" s="359"/>
      <c r="V59" s="359"/>
      <c r="W59" s="359"/>
    </row>
    <row r="60" spans="1:26" s="356" customFormat="1" ht="30" customHeight="1">
      <c r="B60" s="1049" t="s">
        <v>356</v>
      </c>
      <c r="C60" s="1049"/>
      <c r="D60" s="1049"/>
      <c r="E60" s="1049"/>
      <c r="F60" s="381"/>
      <c r="G60" s="380"/>
      <c r="H60" s="381"/>
      <c r="I60" s="376"/>
      <c r="J60" s="376"/>
      <c r="K60" s="376"/>
      <c r="L60" s="376"/>
      <c r="M60" s="359"/>
    </row>
    <row r="61" spans="1:26" s="390" customFormat="1" ht="30" customHeight="1">
      <c r="A61" s="356"/>
      <c r="B61" s="382"/>
      <c r="C61" s="831" t="str">
        <f>배점기준!$C$3</f>
        <v>대기관리</v>
      </c>
      <c r="D61" s="832" t="s">
        <v>233</v>
      </c>
      <c r="E61" s="1053" t="s">
        <v>227</v>
      </c>
      <c r="F61" s="1054"/>
      <c r="G61" s="357"/>
      <c r="H61" s="357"/>
      <c r="I61" s="358"/>
      <c r="J61" s="358"/>
      <c r="K61" s="357"/>
      <c r="L61" s="357"/>
      <c r="M61" s="357"/>
      <c r="Q61" s="312" t="s">
        <v>127</v>
      </c>
      <c r="R61" s="308" t="s">
        <v>138</v>
      </c>
      <c r="S61" s="308"/>
      <c r="T61" s="391"/>
      <c r="V61" s="392"/>
      <c r="W61" s="392"/>
      <c r="X61" s="392"/>
      <c r="Y61" s="392"/>
      <c r="Z61" s="392"/>
    </row>
    <row r="62" spans="1:26" s="390" customFormat="1" ht="30" customHeight="1">
      <c r="A62" s="356"/>
      <c r="B62" s="1029" t="s">
        <v>6</v>
      </c>
      <c r="C62" s="1037" t="s">
        <v>7</v>
      </c>
      <c r="D62" s="1038"/>
      <c r="E62" s="1033" t="s">
        <v>36</v>
      </c>
      <c r="F62" s="1034"/>
      <c r="G62" s="1031" t="s">
        <v>203</v>
      </c>
      <c r="H62" s="1029" t="s">
        <v>40</v>
      </c>
      <c r="I62" s="1029" t="s">
        <v>204</v>
      </c>
      <c r="J62" s="1029" t="s">
        <v>220</v>
      </c>
      <c r="K62" s="1029" t="s">
        <v>37</v>
      </c>
      <c r="L62" s="1029" t="s">
        <v>38</v>
      </c>
      <c r="M62" s="361" t="s">
        <v>645</v>
      </c>
      <c r="Q62" s="310" t="s">
        <v>164</v>
      </c>
      <c r="R62" s="308" t="s">
        <v>163</v>
      </c>
      <c r="S62" s="308"/>
      <c r="T62" s="391"/>
      <c r="V62" s="392"/>
      <c r="W62" s="392"/>
      <c r="X62" s="392"/>
      <c r="Y62" s="392"/>
      <c r="Z62" s="392"/>
    </row>
    <row r="63" spans="1:26" s="390" customFormat="1" ht="30" customHeight="1">
      <c r="A63" s="356"/>
      <c r="B63" s="1030"/>
      <c r="C63" s="1039"/>
      <c r="D63" s="1040"/>
      <c r="E63" s="362" t="s">
        <v>640</v>
      </c>
      <c r="F63" s="361" t="s">
        <v>388</v>
      </c>
      <c r="G63" s="1032"/>
      <c r="H63" s="1030"/>
      <c r="I63" s="1030"/>
      <c r="J63" s="1030"/>
      <c r="K63" s="1030"/>
      <c r="L63" s="1030"/>
      <c r="M63" s="363">
        <f>배점기준!$H$2</f>
        <v>42039</v>
      </c>
      <c r="Q63" s="310" t="s">
        <v>165</v>
      </c>
      <c r="R63" s="308" t="s">
        <v>139</v>
      </c>
      <c r="S63" s="308"/>
      <c r="T63" s="391"/>
      <c r="V63" s="392"/>
      <c r="W63" s="392"/>
      <c r="X63" s="392"/>
      <c r="Y63" s="392"/>
      <c r="Z63" s="392"/>
    </row>
    <row r="64" spans="1:26" s="390" customFormat="1" ht="30" customHeight="1">
      <c r="A64" s="356"/>
      <c r="B64" s="364">
        <v>1</v>
      </c>
      <c r="C64" s="1023" t="s">
        <v>221</v>
      </c>
      <c r="D64" s="1024"/>
      <c r="E64" s="365">
        <v>42018</v>
      </c>
      <c r="F64" s="365">
        <v>42323</v>
      </c>
      <c r="G64" s="366">
        <f t="shared" ref="G64:G66" si="13">F64-E64+1</f>
        <v>306</v>
      </c>
      <c r="H64" s="367">
        <v>440</v>
      </c>
      <c r="I64" s="366">
        <f t="shared" ref="I64:I66" si="14">IF((F64-M63)&gt;=365,365,(F64-M63))</f>
        <v>284</v>
      </c>
      <c r="J64" s="366">
        <f>ROUND((H64*(I64/G64)/10),0)</f>
        <v>41</v>
      </c>
      <c r="K64" s="368"/>
      <c r="L64" s="368"/>
      <c r="M64" s="368"/>
      <c r="N64" s="316"/>
      <c r="O64" s="316"/>
      <c r="Q64" s="310" t="s">
        <v>166</v>
      </c>
      <c r="R64" s="1003" t="s">
        <v>1</v>
      </c>
      <c r="S64" s="1003"/>
      <c r="T64" s="1003"/>
      <c r="U64" s="1003"/>
      <c r="V64" s="1003"/>
      <c r="W64" s="1003"/>
      <c r="X64" s="1003"/>
      <c r="Y64" s="1003"/>
      <c r="Z64" s="1003"/>
    </row>
    <row r="65" spans="1:26" s="390" customFormat="1" ht="30" customHeight="1">
      <c r="A65" s="356"/>
      <c r="B65" s="364">
        <v>2</v>
      </c>
      <c r="C65" s="1023" t="s">
        <v>222</v>
      </c>
      <c r="D65" s="1024"/>
      <c r="E65" s="365">
        <v>42040</v>
      </c>
      <c r="F65" s="365">
        <v>42347</v>
      </c>
      <c r="G65" s="366">
        <f t="shared" si="13"/>
        <v>308</v>
      </c>
      <c r="H65" s="367">
        <v>403</v>
      </c>
      <c r="I65" s="366">
        <f t="shared" si="14"/>
        <v>365</v>
      </c>
      <c r="J65" s="366">
        <f>ROUND((H65*(I65/G65)/10),0)</f>
        <v>48</v>
      </c>
      <c r="K65" s="368"/>
      <c r="L65" s="368"/>
      <c r="M65" s="368"/>
      <c r="Q65" s="310" t="s">
        <v>169</v>
      </c>
      <c r="R65" s="314" t="s">
        <v>140</v>
      </c>
      <c r="S65" s="314"/>
      <c r="T65" s="393"/>
      <c r="U65" s="316"/>
      <c r="V65" s="393"/>
      <c r="W65" s="393"/>
      <c r="X65" s="393"/>
      <c r="Y65" s="393"/>
      <c r="Z65" s="393"/>
    </row>
    <row r="66" spans="1:26" ht="30" customHeight="1">
      <c r="A66" s="356"/>
      <c r="B66" s="364">
        <v>3</v>
      </c>
      <c r="C66" s="1023" t="s">
        <v>223</v>
      </c>
      <c r="D66" s="1024"/>
      <c r="E66" s="365">
        <v>42018</v>
      </c>
      <c r="F66" s="365">
        <v>42323</v>
      </c>
      <c r="G66" s="366">
        <f t="shared" si="13"/>
        <v>306</v>
      </c>
      <c r="H66" s="367">
        <v>440</v>
      </c>
      <c r="I66" s="366">
        <f t="shared" si="14"/>
        <v>365</v>
      </c>
      <c r="J66" s="366">
        <f>ROUND((H66*(I66/G66)/10),0)</f>
        <v>52</v>
      </c>
      <c r="K66" s="365"/>
      <c r="L66" s="364"/>
      <c r="M66" s="368"/>
    </row>
    <row r="67" spans="1:26" ht="30" customHeight="1">
      <c r="A67" s="356"/>
      <c r="B67" s="1050" t="s">
        <v>39</v>
      </c>
      <c r="C67" s="1051"/>
      <c r="D67" s="1052"/>
      <c r="E67" s="369"/>
      <c r="F67" s="370"/>
      <c r="G67" s="371"/>
      <c r="H67" s="372"/>
      <c r="I67" s="373"/>
      <c r="J67" s="374">
        <f>(SUM(J64:J66))/100</f>
        <v>1.41</v>
      </c>
      <c r="K67" s="374">
        <f>IF((J67-2.5)&gt;=0,(J67-2.5),0)</f>
        <v>0</v>
      </c>
      <c r="L67" s="361"/>
      <c r="M67" s="375"/>
    </row>
    <row r="68" spans="1:26" ht="30" customHeight="1">
      <c r="A68" s="356"/>
      <c r="B68" s="383"/>
      <c r="C68" s="377"/>
      <c r="D68" s="378"/>
      <c r="E68" s="378"/>
      <c r="F68" s="379"/>
      <c r="G68" s="380"/>
      <c r="H68" s="380"/>
      <c r="I68" s="381"/>
      <c r="J68" s="381"/>
      <c r="K68" s="376"/>
      <c r="L68" s="376"/>
      <c r="M68" s="376"/>
    </row>
    <row r="69" spans="1:26" ht="30" customHeight="1">
      <c r="A69" s="356"/>
      <c r="B69" s="382"/>
      <c r="C69" s="833" t="str">
        <f>배점기준!$C$4</f>
        <v>수질관리</v>
      </c>
      <c r="D69" s="832" t="s">
        <v>233</v>
      </c>
      <c r="E69" s="1035" t="s">
        <v>228</v>
      </c>
      <c r="F69" s="1036"/>
      <c r="G69" s="357"/>
      <c r="H69" s="357"/>
      <c r="I69" s="358"/>
      <c r="J69" s="358"/>
      <c r="K69" s="357"/>
      <c r="L69" s="357"/>
      <c r="M69" s="357"/>
    </row>
    <row r="70" spans="1:26" s="216" customFormat="1" ht="30" customHeight="1">
      <c r="A70" s="835"/>
      <c r="B70" s="1029" t="s">
        <v>6</v>
      </c>
      <c r="C70" s="1037" t="s">
        <v>7</v>
      </c>
      <c r="D70" s="1038"/>
      <c r="E70" s="1033" t="s">
        <v>36</v>
      </c>
      <c r="F70" s="1034"/>
      <c r="G70" s="1031" t="s">
        <v>203</v>
      </c>
      <c r="H70" s="1029" t="s">
        <v>40</v>
      </c>
      <c r="I70" s="1029" t="s">
        <v>204</v>
      </c>
      <c r="J70" s="1029" t="s">
        <v>220</v>
      </c>
      <c r="K70" s="1029" t="s">
        <v>37</v>
      </c>
      <c r="L70" s="1029" t="s">
        <v>38</v>
      </c>
      <c r="M70" s="361" t="s">
        <v>645</v>
      </c>
    </row>
    <row r="71" spans="1:26" s="216" customFormat="1" ht="30" customHeight="1">
      <c r="A71" s="835"/>
      <c r="B71" s="1030"/>
      <c r="C71" s="1039"/>
      <c r="D71" s="1040"/>
      <c r="E71" s="362" t="s">
        <v>640</v>
      </c>
      <c r="F71" s="361" t="s">
        <v>388</v>
      </c>
      <c r="G71" s="1032"/>
      <c r="H71" s="1030"/>
      <c r="I71" s="1030"/>
      <c r="J71" s="1030"/>
      <c r="K71" s="1030"/>
      <c r="L71" s="1030"/>
      <c r="M71" s="363">
        <f>배점기준!$H$2</f>
        <v>42039</v>
      </c>
    </row>
    <row r="72" spans="1:26" ht="30" customHeight="1">
      <c r="A72" s="356"/>
      <c r="B72" s="384">
        <v>1</v>
      </c>
      <c r="C72" s="1023" t="s">
        <v>205</v>
      </c>
      <c r="D72" s="1024"/>
      <c r="E72" s="365">
        <v>42018</v>
      </c>
      <c r="F72" s="365">
        <v>42323</v>
      </c>
      <c r="G72" s="366">
        <f t="shared" ref="G72:G74" si="15">F72-E72+1</f>
        <v>306</v>
      </c>
      <c r="H72" s="367">
        <v>440</v>
      </c>
      <c r="I72" s="366">
        <f t="shared" ref="I72:I74" si="16">IF((F72-M71)&gt;=365,365,(F72-M71))</f>
        <v>284</v>
      </c>
      <c r="J72" s="366">
        <f>ROUND((H72*(I72/G72)/10),0)</f>
        <v>41</v>
      </c>
      <c r="K72" s="368"/>
      <c r="L72" s="368"/>
      <c r="M72" s="368"/>
    </row>
    <row r="73" spans="1:26" ht="30" customHeight="1">
      <c r="A73" s="356"/>
      <c r="B73" s="384">
        <v>2</v>
      </c>
      <c r="C73" s="1023" t="s">
        <v>206</v>
      </c>
      <c r="D73" s="1024"/>
      <c r="E73" s="365">
        <v>42040</v>
      </c>
      <c r="F73" s="365">
        <v>42347</v>
      </c>
      <c r="G73" s="366">
        <f t="shared" si="15"/>
        <v>308</v>
      </c>
      <c r="H73" s="367">
        <v>403</v>
      </c>
      <c r="I73" s="366">
        <f t="shared" si="16"/>
        <v>365</v>
      </c>
      <c r="J73" s="366">
        <f>ROUND((H73*(I73/G73)/10),0)</f>
        <v>48</v>
      </c>
      <c r="K73" s="368"/>
      <c r="L73" s="368"/>
      <c r="M73" s="368"/>
    </row>
    <row r="74" spans="1:26" ht="30" customHeight="1">
      <c r="A74" s="356"/>
      <c r="B74" s="384">
        <v>3</v>
      </c>
      <c r="C74" s="1023" t="s">
        <v>205</v>
      </c>
      <c r="D74" s="1024"/>
      <c r="E74" s="365">
        <v>42018</v>
      </c>
      <c r="F74" s="365">
        <v>42323</v>
      </c>
      <c r="G74" s="366">
        <f t="shared" si="15"/>
        <v>306</v>
      </c>
      <c r="H74" s="367">
        <v>440</v>
      </c>
      <c r="I74" s="366">
        <f t="shared" si="16"/>
        <v>365</v>
      </c>
      <c r="J74" s="366">
        <f>ROUND((H74*(I74/G74)/10),0)</f>
        <v>52</v>
      </c>
      <c r="K74" s="365"/>
      <c r="L74" s="364"/>
      <c r="M74" s="368"/>
    </row>
    <row r="75" spans="1:26" ht="30" customHeight="1">
      <c r="A75" s="356"/>
      <c r="B75" s="1025" t="s">
        <v>39</v>
      </c>
      <c r="C75" s="1026"/>
      <c r="D75" s="1027"/>
      <c r="E75" s="369"/>
      <c r="F75" s="370"/>
      <c r="G75" s="371"/>
      <c r="H75" s="372"/>
      <c r="I75" s="373"/>
      <c r="J75" s="374">
        <f>(SUM(J72:J74))/100</f>
        <v>1.41</v>
      </c>
      <c r="K75" s="374">
        <f>IF((J75-2.5)&gt;=0,(J75-2.5),0)</f>
        <v>0</v>
      </c>
      <c r="L75" s="361"/>
      <c r="M75" s="375"/>
    </row>
    <row r="76" spans="1:26" ht="30" customHeight="1">
      <c r="A76" s="356"/>
      <c r="B76" s="383"/>
      <c r="C76" s="377"/>
      <c r="D76" s="378"/>
      <c r="E76" s="378"/>
      <c r="F76" s="379"/>
      <c r="G76" s="380"/>
      <c r="H76" s="380"/>
      <c r="I76" s="381"/>
      <c r="J76" s="381"/>
      <c r="K76" s="376"/>
      <c r="L76" s="376"/>
      <c r="M76" s="376"/>
    </row>
    <row r="77" spans="1:26" ht="30" customHeight="1">
      <c r="A77" s="356"/>
      <c r="B77" s="382"/>
      <c r="C77" s="833" t="str">
        <f>배점기준!$C$5</f>
        <v>소음진동</v>
      </c>
      <c r="D77" s="832" t="s">
        <v>233</v>
      </c>
      <c r="E77" s="1035" t="s">
        <v>229</v>
      </c>
      <c r="F77" s="1036"/>
      <c r="G77" s="357"/>
      <c r="H77" s="357"/>
      <c r="I77" s="358"/>
      <c r="J77" s="358"/>
      <c r="K77" s="357"/>
      <c r="L77" s="357"/>
      <c r="M77" s="357"/>
    </row>
    <row r="78" spans="1:26" s="216" customFormat="1" ht="30" customHeight="1">
      <c r="A78" s="835"/>
      <c r="B78" s="1029" t="s">
        <v>6</v>
      </c>
      <c r="C78" s="1037" t="s">
        <v>7</v>
      </c>
      <c r="D78" s="1038"/>
      <c r="E78" s="1033" t="s">
        <v>36</v>
      </c>
      <c r="F78" s="1034"/>
      <c r="G78" s="1031" t="s">
        <v>203</v>
      </c>
      <c r="H78" s="1029" t="s">
        <v>40</v>
      </c>
      <c r="I78" s="1029" t="s">
        <v>204</v>
      </c>
      <c r="J78" s="1029" t="s">
        <v>220</v>
      </c>
      <c r="K78" s="1029" t="s">
        <v>37</v>
      </c>
      <c r="L78" s="1029" t="s">
        <v>38</v>
      </c>
      <c r="M78" s="361" t="s">
        <v>645</v>
      </c>
    </row>
    <row r="79" spans="1:26" s="216" customFormat="1" ht="30" customHeight="1">
      <c r="A79" s="835"/>
      <c r="B79" s="1030"/>
      <c r="C79" s="1039"/>
      <c r="D79" s="1040"/>
      <c r="E79" s="362" t="s">
        <v>640</v>
      </c>
      <c r="F79" s="361" t="s">
        <v>388</v>
      </c>
      <c r="G79" s="1032"/>
      <c r="H79" s="1030"/>
      <c r="I79" s="1030"/>
      <c r="J79" s="1030"/>
      <c r="K79" s="1030"/>
      <c r="L79" s="1030"/>
      <c r="M79" s="363">
        <f>배점기준!$H$2</f>
        <v>42039</v>
      </c>
    </row>
    <row r="80" spans="1:26" ht="30" customHeight="1">
      <c r="A80" s="356"/>
      <c r="B80" s="384">
        <v>1</v>
      </c>
      <c r="C80" s="1023" t="s">
        <v>205</v>
      </c>
      <c r="D80" s="1024"/>
      <c r="E80" s="365">
        <v>42018</v>
      </c>
      <c r="F80" s="365">
        <v>42323</v>
      </c>
      <c r="G80" s="366">
        <f t="shared" ref="G80:G82" si="17">F80-E80+1</f>
        <v>306</v>
      </c>
      <c r="H80" s="367">
        <v>440</v>
      </c>
      <c r="I80" s="366">
        <f t="shared" ref="I80:I82" si="18">IF((F80-M79)&gt;=365,365,(F80-M79))</f>
        <v>284</v>
      </c>
      <c r="J80" s="366">
        <f>ROUND((H80*(I80/G80)/10),0)</f>
        <v>41</v>
      </c>
      <c r="K80" s="368"/>
      <c r="L80" s="368"/>
      <c r="M80" s="368"/>
    </row>
    <row r="81" spans="1:13" ht="30" customHeight="1">
      <c r="A81" s="356"/>
      <c r="B81" s="384">
        <v>2</v>
      </c>
      <c r="C81" s="1023" t="s">
        <v>206</v>
      </c>
      <c r="D81" s="1024"/>
      <c r="E81" s="365">
        <v>42040</v>
      </c>
      <c r="F81" s="365">
        <v>42347</v>
      </c>
      <c r="G81" s="366">
        <f t="shared" si="17"/>
        <v>308</v>
      </c>
      <c r="H81" s="367">
        <v>403</v>
      </c>
      <c r="I81" s="366">
        <f t="shared" si="18"/>
        <v>365</v>
      </c>
      <c r="J81" s="366">
        <f>ROUND((H81*(I81/G81)/10),0)</f>
        <v>48</v>
      </c>
      <c r="K81" s="368"/>
      <c r="L81" s="368"/>
      <c r="M81" s="368"/>
    </row>
    <row r="82" spans="1:13" ht="30" customHeight="1">
      <c r="A82" s="356"/>
      <c r="B82" s="384">
        <v>3</v>
      </c>
      <c r="C82" s="1023" t="s">
        <v>205</v>
      </c>
      <c r="D82" s="1024"/>
      <c r="E82" s="365">
        <v>42018</v>
      </c>
      <c r="F82" s="365">
        <v>42323</v>
      </c>
      <c r="G82" s="366">
        <f t="shared" si="17"/>
        <v>306</v>
      </c>
      <c r="H82" s="367">
        <v>440</v>
      </c>
      <c r="I82" s="366">
        <f t="shared" si="18"/>
        <v>365</v>
      </c>
      <c r="J82" s="366">
        <f>ROUND((H82*(I82/G82)/10),0)</f>
        <v>52</v>
      </c>
      <c r="K82" s="365"/>
      <c r="L82" s="364"/>
      <c r="M82" s="368"/>
    </row>
    <row r="83" spans="1:13" ht="30" customHeight="1">
      <c r="A83" s="356"/>
      <c r="B83" s="1025" t="s">
        <v>39</v>
      </c>
      <c r="C83" s="1026"/>
      <c r="D83" s="1027"/>
      <c r="E83" s="369"/>
      <c r="F83" s="370"/>
      <c r="G83" s="371"/>
      <c r="H83" s="372"/>
      <c r="I83" s="373"/>
      <c r="J83" s="374">
        <f>(SUM(J80:J82))/100</f>
        <v>1.41</v>
      </c>
      <c r="K83" s="374">
        <f>IF((J83-2.5)&gt;=0,(J83-2.5),0)</f>
        <v>0</v>
      </c>
      <c r="L83" s="361"/>
      <c r="M83" s="375"/>
    </row>
    <row r="84" spans="1:13" ht="30" customHeight="1">
      <c r="A84" s="356"/>
      <c r="B84" s="383"/>
      <c r="C84" s="377"/>
      <c r="D84" s="378"/>
      <c r="E84" s="378"/>
      <c r="F84" s="379"/>
      <c r="G84" s="380"/>
      <c r="H84" s="380"/>
      <c r="I84" s="381"/>
      <c r="J84" s="381"/>
      <c r="K84" s="376"/>
      <c r="L84" s="376"/>
      <c r="M84" s="376"/>
    </row>
    <row r="85" spans="1:13" ht="30" customHeight="1">
      <c r="A85" s="356"/>
      <c r="B85" s="382"/>
      <c r="C85" s="833" t="str">
        <f>배점기준!$C$6</f>
        <v>폐기물처리</v>
      </c>
      <c r="D85" s="832" t="s">
        <v>233</v>
      </c>
      <c r="E85" s="1035" t="s">
        <v>230</v>
      </c>
      <c r="F85" s="1036"/>
      <c r="G85" s="357"/>
      <c r="H85" s="357"/>
      <c r="I85" s="358"/>
      <c r="J85" s="358"/>
      <c r="K85" s="357"/>
      <c r="L85" s="357"/>
      <c r="M85" s="357"/>
    </row>
    <row r="86" spans="1:13" ht="30" customHeight="1">
      <c r="A86" s="356"/>
      <c r="B86" s="1029" t="s">
        <v>6</v>
      </c>
      <c r="C86" s="1037" t="s">
        <v>7</v>
      </c>
      <c r="D86" s="1038"/>
      <c r="E86" s="1033" t="s">
        <v>36</v>
      </c>
      <c r="F86" s="1034"/>
      <c r="G86" s="1031" t="s">
        <v>203</v>
      </c>
      <c r="H86" s="1029" t="s">
        <v>40</v>
      </c>
      <c r="I86" s="1029" t="s">
        <v>204</v>
      </c>
      <c r="J86" s="1029" t="s">
        <v>220</v>
      </c>
      <c r="K86" s="1029" t="s">
        <v>37</v>
      </c>
      <c r="L86" s="1029" t="s">
        <v>38</v>
      </c>
      <c r="M86" s="361" t="s">
        <v>645</v>
      </c>
    </row>
    <row r="87" spans="1:13" ht="30" customHeight="1">
      <c r="A87" s="356"/>
      <c r="B87" s="1030"/>
      <c r="C87" s="1039"/>
      <c r="D87" s="1040"/>
      <c r="E87" s="362" t="s">
        <v>640</v>
      </c>
      <c r="F87" s="361" t="s">
        <v>388</v>
      </c>
      <c r="G87" s="1032"/>
      <c r="H87" s="1030"/>
      <c r="I87" s="1030"/>
      <c r="J87" s="1030"/>
      <c r="K87" s="1030"/>
      <c r="L87" s="1030"/>
      <c r="M87" s="363">
        <f>배점기준!$H$2</f>
        <v>42039</v>
      </c>
    </row>
    <row r="88" spans="1:13" ht="30" customHeight="1">
      <c r="A88" s="356"/>
      <c r="B88" s="384">
        <v>1</v>
      </c>
      <c r="C88" s="1023" t="s">
        <v>205</v>
      </c>
      <c r="D88" s="1024"/>
      <c r="E88" s="365">
        <v>42018</v>
      </c>
      <c r="F88" s="365">
        <v>42323</v>
      </c>
      <c r="G88" s="366">
        <f t="shared" ref="G88:G90" si="19">F88-E88+1</f>
        <v>306</v>
      </c>
      <c r="H88" s="367">
        <v>440</v>
      </c>
      <c r="I88" s="366">
        <f t="shared" ref="I88:I90" si="20">IF((F88-M87)&gt;=365,365,(F88-M87))</f>
        <v>284</v>
      </c>
      <c r="J88" s="366">
        <f>ROUND((H88*(I88/G88)/10),0)</f>
        <v>41</v>
      </c>
      <c r="K88" s="368"/>
      <c r="L88" s="368"/>
      <c r="M88" s="368"/>
    </row>
    <row r="89" spans="1:13" ht="30" customHeight="1">
      <c r="A89" s="356"/>
      <c r="B89" s="384">
        <v>2</v>
      </c>
      <c r="C89" s="1023" t="s">
        <v>206</v>
      </c>
      <c r="D89" s="1024"/>
      <c r="E89" s="365">
        <v>42040</v>
      </c>
      <c r="F89" s="365">
        <v>42347</v>
      </c>
      <c r="G89" s="366">
        <f t="shared" si="19"/>
        <v>308</v>
      </c>
      <c r="H89" s="367">
        <v>403</v>
      </c>
      <c r="I89" s="366">
        <f t="shared" si="20"/>
        <v>365</v>
      </c>
      <c r="J89" s="366">
        <f>ROUND((H89*(I89/G89)/10),0)</f>
        <v>48</v>
      </c>
      <c r="K89" s="368"/>
      <c r="L89" s="368"/>
      <c r="M89" s="368"/>
    </row>
    <row r="90" spans="1:13" ht="30" customHeight="1">
      <c r="A90" s="356"/>
      <c r="B90" s="384">
        <v>3</v>
      </c>
      <c r="C90" s="1023" t="s">
        <v>205</v>
      </c>
      <c r="D90" s="1024"/>
      <c r="E90" s="365">
        <v>42018</v>
      </c>
      <c r="F90" s="365">
        <v>42323</v>
      </c>
      <c r="G90" s="366">
        <f t="shared" si="19"/>
        <v>306</v>
      </c>
      <c r="H90" s="367">
        <v>440</v>
      </c>
      <c r="I90" s="366">
        <f t="shared" si="20"/>
        <v>365</v>
      </c>
      <c r="J90" s="366">
        <f>ROUND((H90*(I90/G90)/10),0)</f>
        <v>52</v>
      </c>
      <c r="K90" s="365"/>
      <c r="L90" s="364"/>
      <c r="M90" s="368"/>
    </row>
    <row r="91" spans="1:13" ht="30" customHeight="1">
      <c r="A91" s="356"/>
      <c r="B91" s="1025" t="s">
        <v>39</v>
      </c>
      <c r="C91" s="1026"/>
      <c r="D91" s="1027"/>
      <c r="E91" s="385"/>
      <c r="F91" s="386"/>
      <c r="G91" s="387"/>
      <c r="H91" s="388"/>
      <c r="I91" s="373"/>
      <c r="J91" s="374">
        <f>(SUM(J88:J90))/100</f>
        <v>1.41</v>
      </c>
      <c r="K91" s="374">
        <f>IF((J91-2.5)&gt;=0,(J91-2.5),0)</f>
        <v>0</v>
      </c>
      <c r="L91" s="361"/>
      <c r="M91" s="375"/>
    </row>
    <row r="92" spans="1:13" ht="30" customHeight="1">
      <c r="A92" s="356"/>
      <c r="B92" s="383"/>
      <c r="C92" s="377"/>
      <c r="D92" s="378"/>
      <c r="E92" s="378"/>
      <c r="F92" s="379"/>
      <c r="G92" s="380"/>
      <c r="H92" s="380"/>
      <c r="I92" s="381"/>
      <c r="J92" s="381"/>
      <c r="K92" s="376"/>
      <c r="L92" s="376"/>
      <c r="M92" s="376"/>
    </row>
    <row r="93" spans="1:13" ht="30" customHeight="1">
      <c r="A93" s="356"/>
      <c r="B93" s="382"/>
      <c r="C93" s="833">
        <f>배점기준!$C$7</f>
        <v>0</v>
      </c>
      <c r="D93" s="832" t="s">
        <v>233</v>
      </c>
      <c r="E93" s="1035" t="s">
        <v>231</v>
      </c>
      <c r="F93" s="1036"/>
      <c r="G93" s="357"/>
      <c r="H93" s="357"/>
      <c r="I93" s="358"/>
      <c r="J93" s="358"/>
      <c r="K93" s="357"/>
      <c r="L93" s="357"/>
      <c r="M93" s="357"/>
    </row>
    <row r="94" spans="1:13" ht="30" customHeight="1">
      <c r="A94" s="356"/>
      <c r="B94" s="1029" t="s">
        <v>6</v>
      </c>
      <c r="C94" s="1037" t="s">
        <v>7</v>
      </c>
      <c r="D94" s="1038"/>
      <c r="E94" s="1033" t="s">
        <v>36</v>
      </c>
      <c r="F94" s="1034"/>
      <c r="G94" s="1031" t="s">
        <v>203</v>
      </c>
      <c r="H94" s="1029" t="s">
        <v>40</v>
      </c>
      <c r="I94" s="1029" t="s">
        <v>204</v>
      </c>
      <c r="J94" s="1029" t="s">
        <v>220</v>
      </c>
      <c r="K94" s="1029" t="s">
        <v>37</v>
      </c>
      <c r="L94" s="1029" t="s">
        <v>38</v>
      </c>
      <c r="M94" s="361" t="s">
        <v>645</v>
      </c>
    </row>
    <row r="95" spans="1:13" ht="30" customHeight="1">
      <c r="A95" s="356"/>
      <c r="B95" s="1030"/>
      <c r="C95" s="1039"/>
      <c r="D95" s="1040"/>
      <c r="E95" s="362" t="s">
        <v>640</v>
      </c>
      <c r="F95" s="361" t="s">
        <v>388</v>
      </c>
      <c r="G95" s="1032"/>
      <c r="H95" s="1030"/>
      <c r="I95" s="1030"/>
      <c r="J95" s="1030"/>
      <c r="K95" s="1030"/>
      <c r="L95" s="1030"/>
      <c r="M95" s="363">
        <f>배점기준!$H$2</f>
        <v>42039</v>
      </c>
    </row>
    <row r="96" spans="1:13" ht="30" customHeight="1">
      <c r="A96" s="356"/>
      <c r="B96" s="384">
        <v>1</v>
      </c>
      <c r="C96" s="1023" t="s">
        <v>205</v>
      </c>
      <c r="D96" s="1024"/>
      <c r="E96" s="365">
        <v>42018</v>
      </c>
      <c r="F96" s="365">
        <v>42323</v>
      </c>
      <c r="G96" s="366">
        <f t="shared" ref="G96:G98" si="21">F96-E96+1</f>
        <v>306</v>
      </c>
      <c r="H96" s="367">
        <v>440</v>
      </c>
      <c r="I96" s="366">
        <f t="shared" ref="I96:I98" si="22">IF((F96-M95)&gt;=365,365,(F96-M95))</f>
        <v>284</v>
      </c>
      <c r="J96" s="366">
        <f>ROUND((H96*(I96/G96)/10),0)</f>
        <v>41</v>
      </c>
      <c r="K96" s="368"/>
      <c r="L96" s="368"/>
      <c r="M96" s="368"/>
    </row>
    <row r="97" spans="1:13" ht="30" customHeight="1">
      <c r="A97" s="356"/>
      <c r="B97" s="384">
        <v>2</v>
      </c>
      <c r="C97" s="1023" t="s">
        <v>206</v>
      </c>
      <c r="D97" s="1024"/>
      <c r="E97" s="365">
        <v>42040</v>
      </c>
      <c r="F97" s="365">
        <v>42347</v>
      </c>
      <c r="G97" s="366">
        <f t="shared" si="21"/>
        <v>308</v>
      </c>
      <c r="H97" s="367">
        <v>403</v>
      </c>
      <c r="I97" s="366">
        <f t="shared" si="22"/>
        <v>365</v>
      </c>
      <c r="J97" s="366">
        <f>ROUND((H97*(I97/G97)/10),0)</f>
        <v>48</v>
      </c>
      <c r="K97" s="368"/>
      <c r="L97" s="368"/>
      <c r="M97" s="368"/>
    </row>
    <row r="98" spans="1:13" ht="30" customHeight="1">
      <c r="A98" s="356"/>
      <c r="B98" s="384">
        <v>3</v>
      </c>
      <c r="C98" s="1023" t="s">
        <v>205</v>
      </c>
      <c r="D98" s="1024"/>
      <c r="E98" s="365">
        <v>42018</v>
      </c>
      <c r="F98" s="365">
        <v>42323</v>
      </c>
      <c r="G98" s="366">
        <f t="shared" si="21"/>
        <v>306</v>
      </c>
      <c r="H98" s="367">
        <v>440</v>
      </c>
      <c r="I98" s="366">
        <f t="shared" si="22"/>
        <v>365</v>
      </c>
      <c r="J98" s="366">
        <f>ROUND((H98*(I98/G98)/10),0)</f>
        <v>52</v>
      </c>
      <c r="K98" s="365"/>
      <c r="L98" s="364"/>
      <c r="M98" s="368"/>
    </row>
    <row r="99" spans="1:13" ht="30" customHeight="1">
      <c r="A99" s="356"/>
      <c r="B99" s="1025" t="s">
        <v>39</v>
      </c>
      <c r="C99" s="1026"/>
      <c r="D99" s="1027"/>
      <c r="E99" s="385"/>
      <c r="F99" s="386"/>
      <c r="G99" s="387"/>
      <c r="H99" s="388"/>
      <c r="I99" s="373"/>
      <c r="J99" s="374">
        <f>(SUM(J96:J98))/100</f>
        <v>1.41</v>
      </c>
      <c r="K99" s="374">
        <f>IF((J99-2.5)&gt;=0,(J99-2.5),0)</f>
        <v>0</v>
      </c>
      <c r="L99" s="361"/>
      <c r="M99" s="375"/>
    </row>
    <row r="100" spans="1:13" ht="30" customHeight="1">
      <c r="A100" s="356"/>
      <c r="B100" s="383"/>
      <c r="C100" s="377"/>
      <c r="D100" s="378"/>
      <c r="E100" s="378"/>
      <c r="F100" s="379"/>
      <c r="G100" s="380"/>
      <c r="H100" s="380"/>
      <c r="I100" s="381"/>
      <c r="J100" s="381"/>
      <c r="K100" s="376"/>
      <c r="L100" s="376"/>
      <c r="M100" s="376"/>
    </row>
    <row r="101" spans="1:13" ht="30" customHeight="1">
      <c r="A101" s="356"/>
      <c r="B101" s="382"/>
      <c r="C101" s="833">
        <f>배점기준!$C$8</f>
        <v>0</v>
      </c>
      <c r="D101" s="832" t="s">
        <v>233</v>
      </c>
      <c r="E101" s="1035" t="s">
        <v>232</v>
      </c>
      <c r="F101" s="1036"/>
      <c r="G101" s="357"/>
      <c r="H101" s="357"/>
      <c r="I101" s="358"/>
      <c r="J101" s="358"/>
      <c r="K101" s="357"/>
      <c r="L101" s="357"/>
      <c r="M101" s="357"/>
    </row>
    <row r="102" spans="1:13" ht="30" customHeight="1">
      <c r="A102" s="356"/>
      <c r="B102" s="1029" t="s">
        <v>6</v>
      </c>
      <c r="C102" s="1037" t="s">
        <v>7</v>
      </c>
      <c r="D102" s="1038"/>
      <c r="E102" s="1033" t="s">
        <v>36</v>
      </c>
      <c r="F102" s="1034"/>
      <c r="G102" s="1031" t="s">
        <v>203</v>
      </c>
      <c r="H102" s="1029" t="s">
        <v>40</v>
      </c>
      <c r="I102" s="1029" t="s">
        <v>204</v>
      </c>
      <c r="J102" s="1029" t="s">
        <v>220</v>
      </c>
      <c r="K102" s="1029" t="s">
        <v>37</v>
      </c>
      <c r="L102" s="1029" t="s">
        <v>38</v>
      </c>
      <c r="M102" s="361" t="s">
        <v>645</v>
      </c>
    </row>
    <row r="103" spans="1:13" ht="30" customHeight="1">
      <c r="A103" s="356"/>
      <c r="B103" s="1030"/>
      <c r="C103" s="1039"/>
      <c r="D103" s="1040"/>
      <c r="E103" s="362" t="s">
        <v>640</v>
      </c>
      <c r="F103" s="361" t="s">
        <v>388</v>
      </c>
      <c r="G103" s="1032"/>
      <c r="H103" s="1030"/>
      <c r="I103" s="1030"/>
      <c r="J103" s="1030"/>
      <c r="K103" s="1030"/>
      <c r="L103" s="1030"/>
      <c r="M103" s="363">
        <f>배점기준!$H$2</f>
        <v>42039</v>
      </c>
    </row>
    <row r="104" spans="1:13" ht="30" customHeight="1">
      <c r="A104" s="356"/>
      <c r="B104" s="384">
        <v>1</v>
      </c>
      <c r="C104" s="1023" t="s">
        <v>205</v>
      </c>
      <c r="D104" s="1024"/>
      <c r="E104" s="365">
        <v>42018</v>
      </c>
      <c r="F104" s="365">
        <v>42323</v>
      </c>
      <c r="G104" s="366">
        <f>F104-E104+1</f>
        <v>306</v>
      </c>
      <c r="H104" s="367">
        <v>440</v>
      </c>
      <c r="I104" s="366">
        <f t="shared" ref="I104:I106" si="23">IF((F104-M103)&gt;=365,365,(F104-M103))</f>
        <v>284</v>
      </c>
      <c r="J104" s="366">
        <f>ROUND((H104*(I104/G104)/10),0)</f>
        <v>41</v>
      </c>
      <c r="K104" s="368"/>
      <c r="L104" s="368"/>
      <c r="M104" s="368"/>
    </row>
    <row r="105" spans="1:13" ht="30" customHeight="1">
      <c r="A105" s="356"/>
      <c r="B105" s="384">
        <v>2</v>
      </c>
      <c r="C105" s="1023" t="s">
        <v>206</v>
      </c>
      <c r="D105" s="1024"/>
      <c r="E105" s="365">
        <v>42040</v>
      </c>
      <c r="F105" s="365">
        <v>42347</v>
      </c>
      <c r="G105" s="366">
        <f t="shared" ref="G105:G106" si="24">F105-E105+1</f>
        <v>308</v>
      </c>
      <c r="H105" s="367">
        <v>403</v>
      </c>
      <c r="I105" s="366">
        <f t="shared" si="23"/>
        <v>365</v>
      </c>
      <c r="J105" s="366">
        <f>ROUND((H105*(I105/G105)/10),0)</f>
        <v>48</v>
      </c>
      <c r="K105" s="368"/>
      <c r="L105" s="368"/>
      <c r="M105" s="368"/>
    </row>
    <row r="106" spans="1:13" ht="30" customHeight="1">
      <c r="A106" s="356"/>
      <c r="B106" s="384">
        <v>3</v>
      </c>
      <c r="C106" s="1023" t="s">
        <v>205</v>
      </c>
      <c r="D106" s="1024"/>
      <c r="E106" s="365">
        <v>42018</v>
      </c>
      <c r="F106" s="365">
        <v>42323</v>
      </c>
      <c r="G106" s="366">
        <f t="shared" si="24"/>
        <v>306</v>
      </c>
      <c r="H106" s="367">
        <v>440</v>
      </c>
      <c r="I106" s="366">
        <f t="shared" si="23"/>
        <v>365</v>
      </c>
      <c r="J106" s="366">
        <f>ROUND((H106*(I106/G106)/10),0)</f>
        <v>52</v>
      </c>
      <c r="K106" s="365"/>
      <c r="L106" s="364"/>
      <c r="M106" s="368"/>
    </row>
    <row r="107" spans="1:13" ht="30" customHeight="1">
      <c r="A107" s="356"/>
      <c r="B107" s="1041" t="s">
        <v>39</v>
      </c>
      <c r="C107" s="1042"/>
      <c r="D107" s="1043"/>
      <c r="E107" s="369"/>
      <c r="F107" s="370"/>
      <c r="G107" s="371"/>
      <c r="H107" s="372"/>
      <c r="I107" s="373"/>
      <c r="J107" s="374">
        <f>(SUM(J104:J106))/100</f>
        <v>1.41</v>
      </c>
      <c r="K107" s="374">
        <f>IF((J107-2.5)&gt;=0,(J107-2.5),0)</f>
        <v>0</v>
      </c>
      <c r="L107" s="361"/>
      <c r="M107" s="375"/>
    </row>
    <row r="108" spans="1:13" ht="20.100000000000001" customHeight="1">
      <c r="A108" s="356"/>
      <c r="B108" s="312" t="s">
        <v>127</v>
      </c>
      <c r="C108" s="308" t="s">
        <v>639</v>
      </c>
      <c r="D108" s="308"/>
      <c r="E108" s="391"/>
      <c r="F108" s="390"/>
      <c r="G108" s="392"/>
      <c r="H108" s="392"/>
      <c r="I108" s="392"/>
      <c r="J108" s="392"/>
      <c r="K108" s="392"/>
      <c r="L108" s="376"/>
      <c r="M108" s="376"/>
    </row>
    <row r="109" spans="1:13" ht="20.100000000000001" customHeight="1">
      <c r="B109" s="310" t="s">
        <v>164</v>
      </c>
      <c r="C109" s="308" t="s">
        <v>163</v>
      </c>
      <c r="D109" s="308"/>
      <c r="E109" s="391"/>
      <c r="F109" s="390"/>
      <c r="G109" s="392"/>
      <c r="H109" s="392"/>
      <c r="I109" s="392"/>
      <c r="J109" s="392"/>
      <c r="K109" s="392"/>
    </row>
    <row r="110" spans="1:13" ht="20.100000000000001" customHeight="1">
      <c r="B110" s="310" t="s">
        <v>165</v>
      </c>
      <c r="C110" s="308" t="s">
        <v>139</v>
      </c>
      <c r="D110" s="308"/>
      <c r="E110" s="391"/>
      <c r="F110" s="390"/>
      <c r="G110" s="392"/>
      <c r="H110" s="392"/>
      <c r="I110" s="392"/>
      <c r="J110" s="392"/>
      <c r="K110" s="392"/>
    </row>
    <row r="111" spans="1:13" ht="20.100000000000001" customHeight="1">
      <c r="B111" s="310" t="s">
        <v>166</v>
      </c>
      <c r="C111" s="1028" t="s">
        <v>1</v>
      </c>
      <c r="D111" s="1028"/>
      <c r="E111" s="1028"/>
      <c r="F111" s="1028"/>
      <c r="G111" s="1028"/>
      <c r="H111" s="1028"/>
      <c r="I111" s="1028"/>
      <c r="J111" s="1028"/>
      <c r="K111" s="1028"/>
      <c r="L111" s="1028"/>
      <c r="M111" s="1028"/>
    </row>
    <row r="112" spans="1:13" ht="20.100000000000001" customHeight="1">
      <c r="B112" s="310" t="s">
        <v>169</v>
      </c>
      <c r="C112" s="314" t="s">
        <v>140</v>
      </c>
      <c r="D112" s="314"/>
      <c r="E112" s="393"/>
      <c r="F112" s="316"/>
      <c r="G112" s="393"/>
      <c r="H112" s="393"/>
      <c r="I112" s="393"/>
      <c r="J112" s="393"/>
      <c r="K112" s="393"/>
    </row>
    <row r="113" ht="20.100000000000001" customHeight="1"/>
  </sheetData>
  <mergeCells count="188">
    <mergeCell ref="C104:D104"/>
    <mergeCell ref="C105:D105"/>
    <mergeCell ref="C106:D106"/>
    <mergeCell ref="B107:D107"/>
    <mergeCell ref="G102:G103"/>
    <mergeCell ref="H102:H103"/>
    <mergeCell ref="I102:I103"/>
    <mergeCell ref="J102:J103"/>
    <mergeCell ref="K102:K103"/>
    <mergeCell ref="L102:L103"/>
    <mergeCell ref="C96:D96"/>
    <mergeCell ref="C97:D97"/>
    <mergeCell ref="C98:D98"/>
    <mergeCell ref="B99:D99"/>
    <mergeCell ref="E101:F101"/>
    <mergeCell ref="B102:B103"/>
    <mergeCell ref="C102:D103"/>
    <mergeCell ref="E102:F102"/>
    <mergeCell ref="G94:G95"/>
    <mergeCell ref="H94:H95"/>
    <mergeCell ref="I94:I95"/>
    <mergeCell ref="J94:J95"/>
    <mergeCell ref="K94:K95"/>
    <mergeCell ref="L94:L95"/>
    <mergeCell ref="C88:D88"/>
    <mergeCell ref="C89:D89"/>
    <mergeCell ref="C90:D90"/>
    <mergeCell ref="B91:D91"/>
    <mergeCell ref="E93:F93"/>
    <mergeCell ref="B94:B95"/>
    <mergeCell ref="C94:D95"/>
    <mergeCell ref="E94:F94"/>
    <mergeCell ref="G86:G87"/>
    <mergeCell ref="H86:H87"/>
    <mergeCell ref="I86:I87"/>
    <mergeCell ref="J86:J87"/>
    <mergeCell ref="K86:K87"/>
    <mergeCell ref="L86:L87"/>
    <mergeCell ref="C80:D80"/>
    <mergeCell ref="C81:D81"/>
    <mergeCell ref="C82:D82"/>
    <mergeCell ref="B83:D83"/>
    <mergeCell ref="E85:F85"/>
    <mergeCell ref="B86:B87"/>
    <mergeCell ref="C86:D87"/>
    <mergeCell ref="E86:F86"/>
    <mergeCell ref="G78:G79"/>
    <mergeCell ref="H78:H79"/>
    <mergeCell ref="I78:I79"/>
    <mergeCell ref="J78:J79"/>
    <mergeCell ref="K78:K79"/>
    <mergeCell ref="L78:L79"/>
    <mergeCell ref="C72:D72"/>
    <mergeCell ref="C73:D73"/>
    <mergeCell ref="C74:D74"/>
    <mergeCell ref="B75:D75"/>
    <mergeCell ref="E77:F77"/>
    <mergeCell ref="B78:B79"/>
    <mergeCell ref="C78:D79"/>
    <mergeCell ref="E78:F78"/>
    <mergeCell ref="G70:G71"/>
    <mergeCell ref="H70:H71"/>
    <mergeCell ref="I70:I71"/>
    <mergeCell ref="J70:J71"/>
    <mergeCell ref="K70:K71"/>
    <mergeCell ref="L70:L71"/>
    <mergeCell ref="C65:D65"/>
    <mergeCell ref="C66:D66"/>
    <mergeCell ref="B67:D67"/>
    <mergeCell ref="E69:F69"/>
    <mergeCell ref="B70:B71"/>
    <mergeCell ref="C70:D71"/>
    <mergeCell ref="E70:F70"/>
    <mergeCell ref="C40:D40"/>
    <mergeCell ref="C41:D41"/>
    <mergeCell ref="H62:H63"/>
    <mergeCell ref="I62:I63"/>
    <mergeCell ref="J62:J63"/>
    <mergeCell ref="K62:K63"/>
    <mergeCell ref="L62:L63"/>
    <mergeCell ref="C64:D64"/>
    <mergeCell ref="B60:E60"/>
    <mergeCell ref="E61:F61"/>
    <mergeCell ref="B62:B63"/>
    <mergeCell ref="C62:D63"/>
    <mergeCell ref="E62:F62"/>
    <mergeCell ref="G62:G63"/>
    <mergeCell ref="C57:D57"/>
    <mergeCell ref="E44:F44"/>
    <mergeCell ref="C45:D46"/>
    <mergeCell ref="C47:D47"/>
    <mergeCell ref="C48:D48"/>
    <mergeCell ref="C49:D49"/>
    <mergeCell ref="C55:D55"/>
    <mergeCell ref="C56:D56"/>
    <mergeCell ref="C24:D24"/>
    <mergeCell ref="C25:D25"/>
    <mergeCell ref="B26:D26"/>
    <mergeCell ref="B18:D18"/>
    <mergeCell ref="E12:F12"/>
    <mergeCell ref="C13:D14"/>
    <mergeCell ref="C15:D15"/>
    <mergeCell ref="C16:D16"/>
    <mergeCell ref="C17:D17"/>
    <mergeCell ref="E20:F20"/>
    <mergeCell ref="C6:D6"/>
    <mergeCell ref="C7:D7"/>
    <mergeCell ref="C8:D8"/>
    <mergeCell ref="C4:D5"/>
    <mergeCell ref="B11:E11"/>
    <mergeCell ref="J4:J5"/>
    <mergeCell ref="J13:J14"/>
    <mergeCell ref="J21:J22"/>
    <mergeCell ref="J29:J30"/>
    <mergeCell ref="B13:B14"/>
    <mergeCell ref="E13:F13"/>
    <mergeCell ref="G13:G14"/>
    <mergeCell ref="H13:H14"/>
    <mergeCell ref="I13:I14"/>
    <mergeCell ref="B29:B30"/>
    <mergeCell ref="E29:F29"/>
    <mergeCell ref="G29:G30"/>
    <mergeCell ref="H29:H30"/>
    <mergeCell ref="I29:I30"/>
    <mergeCell ref="B9:D9"/>
    <mergeCell ref="E28:F28"/>
    <mergeCell ref="C29:D30"/>
    <mergeCell ref="C21:D22"/>
    <mergeCell ref="C23:D23"/>
    <mergeCell ref="B2:C2"/>
    <mergeCell ref="B4:B5"/>
    <mergeCell ref="E4:F4"/>
    <mergeCell ref="G4:G5"/>
    <mergeCell ref="H4:H5"/>
    <mergeCell ref="C3:D3"/>
    <mergeCell ref="I4:I5"/>
    <mergeCell ref="K4:K5"/>
    <mergeCell ref="L4:L5"/>
    <mergeCell ref="E3:F3"/>
    <mergeCell ref="K13:K14"/>
    <mergeCell ref="L13:L14"/>
    <mergeCell ref="B21:B22"/>
    <mergeCell ref="E21:F21"/>
    <mergeCell ref="G21:G22"/>
    <mergeCell ref="H21:H22"/>
    <mergeCell ref="I21:I22"/>
    <mergeCell ref="K21:K22"/>
    <mergeCell ref="L21:L22"/>
    <mergeCell ref="K29:K30"/>
    <mergeCell ref="L29:L30"/>
    <mergeCell ref="B37:B38"/>
    <mergeCell ref="E37:F37"/>
    <mergeCell ref="G37:G38"/>
    <mergeCell ref="H37:H38"/>
    <mergeCell ref="I37:I38"/>
    <mergeCell ref="K37:K38"/>
    <mergeCell ref="L37:L38"/>
    <mergeCell ref="J37:J38"/>
    <mergeCell ref="E36:F36"/>
    <mergeCell ref="C31:D31"/>
    <mergeCell ref="C32:D32"/>
    <mergeCell ref="C33:D33"/>
    <mergeCell ref="B34:D34"/>
    <mergeCell ref="C37:D38"/>
    <mergeCell ref="C39:D39"/>
    <mergeCell ref="B42:D42"/>
    <mergeCell ref="C111:M111"/>
    <mergeCell ref="R64:Z64"/>
    <mergeCell ref="I45:I46"/>
    <mergeCell ref="K45:K46"/>
    <mergeCell ref="L45:L46"/>
    <mergeCell ref="B53:B54"/>
    <mergeCell ref="G53:G54"/>
    <mergeCell ref="H53:H54"/>
    <mergeCell ref="I53:I54"/>
    <mergeCell ref="B45:B46"/>
    <mergeCell ref="E45:F45"/>
    <mergeCell ref="G45:G46"/>
    <mergeCell ref="H45:H46"/>
    <mergeCell ref="K53:K54"/>
    <mergeCell ref="L53:L54"/>
    <mergeCell ref="J53:J54"/>
    <mergeCell ref="J45:J46"/>
    <mergeCell ref="E53:F53"/>
    <mergeCell ref="B50:D50"/>
    <mergeCell ref="E52:F52"/>
    <mergeCell ref="C53:D54"/>
    <mergeCell ref="B58:D58"/>
  </mergeCells>
  <phoneticPr fontId="2" type="noConversion"/>
  <pageMargins left="0.74803149606299213" right="0.59055118110236227" top="0.98425196850393704" bottom="0.98425196850393704" header="0.51181102362204722" footer="0.51181102362204722"/>
  <pageSetup paperSize="9" scale="75" orientation="landscape" horizontalDpi="4294967293" r:id="rId1"/>
  <headerFooter alignWithMargins="0"/>
  <rowBreaks count="2" manualBreakCount="2">
    <brk id="18" max="12" man="1"/>
    <brk id="43" max="12" man="1"/>
  </rowBreaks>
  <ignoredErrors>
    <ignoredError sqref="I6:J6" unlockedFormula="1"/>
  </ignoredError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8" enableFormatConditionsCalculation="0">
    <tabColor indexed="43"/>
  </sheetPr>
  <dimension ref="A1:Q108"/>
  <sheetViews>
    <sheetView view="pageBreakPreview" zoomScale="85" zoomScaleNormal="55" zoomScaleSheetLayoutView="70" workbookViewId="0">
      <selection activeCell="G18" sqref="G18"/>
    </sheetView>
  </sheetViews>
  <sheetFormatPr defaultRowHeight="15.95" customHeight="1"/>
  <cols>
    <col min="1" max="1" width="3" style="179" customWidth="1"/>
    <col min="2" max="2" width="19.5546875" style="179" customWidth="1"/>
    <col min="3" max="3" width="12.109375" style="179" customWidth="1"/>
    <col min="4" max="4" width="22.88671875" style="179" customWidth="1"/>
    <col min="5" max="5" width="21.109375" style="179" customWidth="1"/>
    <col min="6" max="6" width="21" style="179" customWidth="1"/>
    <col min="7" max="7" width="20.109375" style="179" customWidth="1"/>
    <col min="8" max="8" width="5.6640625" style="179" bestFit="1" customWidth="1"/>
    <col min="9" max="9" width="20.33203125" style="179" customWidth="1"/>
    <col min="10" max="10" width="17.33203125" style="179" customWidth="1"/>
    <col min="11" max="12" width="8" style="179" bestFit="1" customWidth="1"/>
    <col min="13" max="13" width="14" style="179" customWidth="1"/>
    <col min="14" max="14" width="8.109375" style="179" customWidth="1"/>
    <col min="15" max="15" width="12.77734375" style="179" customWidth="1"/>
    <col min="16" max="16" width="8.33203125" style="179" customWidth="1"/>
    <col min="17" max="17" width="7.88671875" style="394" customWidth="1"/>
    <col min="18" max="18" width="6.33203125" style="179" bestFit="1" customWidth="1"/>
    <col min="19" max="19" width="8.77734375" style="179" customWidth="1"/>
    <col min="20" max="20" width="6.33203125" style="179" bestFit="1" customWidth="1"/>
    <col min="21" max="21" width="8.5546875" style="179" customWidth="1"/>
    <col min="22" max="22" width="7.5546875" style="179" bestFit="1" customWidth="1"/>
    <col min="23" max="23" width="6" style="179" customWidth="1"/>
    <col min="24" max="24" width="9.44140625" style="179" customWidth="1"/>
    <col min="25" max="25" width="4" style="179" customWidth="1"/>
    <col min="26" max="26" width="7.77734375" style="179" customWidth="1"/>
    <col min="27" max="16384" width="8.88671875" style="179"/>
  </cols>
  <sheetData>
    <row r="1" spans="1:9" s="398" customFormat="1" ht="28.5" customHeight="1">
      <c r="A1" s="397"/>
      <c r="B1" s="214" t="s">
        <v>363</v>
      </c>
      <c r="C1" s="215"/>
      <c r="D1" s="215"/>
      <c r="E1" s="215"/>
      <c r="F1" s="215"/>
      <c r="H1" s="399"/>
    </row>
    <row r="2" spans="1:9" s="398" customFormat="1" ht="8.25" customHeight="1" thickBot="1">
      <c r="A2" s="397"/>
      <c r="B2" s="214"/>
      <c r="C2" s="215"/>
      <c r="D2" s="215"/>
      <c r="E2" s="215"/>
      <c r="F2" s="215"/>
      <c r="H2" s="399"/>
    </row>
    <row r="3" spans="1:9" s="390" customFormat="1" ht="29.25" customHeight="1">
      <c r="B3" s="400" t="s">
        <v>22</v>
      </c>
      <c r="C3" s="401" t="s">
        <v>151</v>
      </c>
      <c r="D3" s="401" t="s">
        <v>152</v>
      </c>
      <c r="E3" s="401" t="s">
        <v>153</v>
      </c>
      <c r="F3" s="401" t="s">
        <v>154</v>
      </c>
      <c r="G3" s="402" t="s">
        <v>383</v>
      </c>
      <c r="I3" s="391"/>
    </row>
    <row r="4" spans="1:9" s="390" customFormat="1" ht="29.25" customHeight="1">
      <c r="B4" s="1061" t="s">
        <v>366</v>
      </c>
      <c r="C4" s="1062"/>
      <c r="D4" s="1062"/>
      <c r="E4" s="1062"/>
      <c r="F4" s="1062"/>
      <c r="G4" s="1063"/>
      <c r="I4" s="391"/>
    </row>
    <row r="5" spans="1:9" s="390" customFormat="1" ht="29.25" customHeight="1">
      <c r="B5" s="403" t="s">
        <v>211</v>
      </c>
      <c r="C5" s="404"/>
      <c r="D5" s="404"/>
      <c r="E5" s="405"/>
      <c r="F5" s="405"/>
      <c r="G5" s="406"/>
      <c r="I5" s="391"/>
    </row>
    <row r="6" spans="1:9" s="390" customFormat="1" ht="29.25" customHeight="1">
      <c r="B6" s="407" t="s">
        <v>361</v>
      </c>
      <c r="C6" s="404"/>
      <c r="D6" s="404"/>
      <c r="E6" s="405"/>
      <c r="F6" s="405"/>
      <c r="G6" s="406"/>
      <c r="I6" s="391"/>
    </row>
    <row r="7" spans="1:9" s="390" customFormat="1" ht="29.25" customHeight="1">
      <c r="B7" s="407" t="s">
        <v>362</v>
      </c>
      <c r="C7" s="404"/>
      <c r="D7" s="404"/>
      <c r="E7" s="405"/>
      <c r="F7" s="405"/>
      <c r="G7" s="406"/>
      <c r="I7" s="391"/>
    </row>
    <row r="8" spans="1:9" s="390" customFormat="1" ht="29.25" customHeight="1">
      <c r="B8" s="407" t="s">
        <v>364</v>
      </c>
      <c r="C8" s="404"/>
      <c r="D8" s="404"/>
      <c r="E8" s="405"/>
      <c r="F8" s="405"/>
      <c r="G8" s="406"/>
      <c r="I8" s="391"/>
    </row>
    <row r="9" spans="1:9" s="390" customFormat="1" ht="29.25" customHeight="1">
      <c r="B9" s="407" t="s">
        <v>365</v>
      </c>
      <c r="C9" s="404"/>
      <c r="D9" s="404"/>
      <c r="E9" s="405"/>
      <c r="F9" s="405"/>
      <c r="G9" s="406"/>
      <c r="I9" s="391"/>
    </row>
    <row r="10" spans="1:9" s="390" customFormat="1" ht="29.25" customHeight="1" thickBot="1">
      <c r="B10" s="1055" t="s">
        <v>103</v>
      </c>
      <c r="C10" s="1056"/>
      <c r="D10" s="1056"/>
      <c r="E10" s="1056"/>
      <c r="F10" s="1056"/>
      <c r="G10" s="408">
        <f>COUNTA(B5:B9)</f>
        <v>5</v>
      </c>
      <c r="I10" s="391"/>
    </row>
    <row r="11" spans="1:9" s="390" customFormat="1" ht="18" customHeight="1" thickBot="1">
      <c r="B11" s="409"/>
      <c r="C11" s="410"/>
      <c r="D11" s="410"/>
      <c r="E11" s="411"/>
      <c r="F11" s="411"/>
      <c r="G11" s="410"/>
      <c r="I11" s="391"/>
    </row>
    <row r="12" spans="1:9" s="390" customFormat="1" ht="29.25" customHeight="1">
      <c r="B12" s="1058" t="s">
        <v>367</v>
      </c>
      <c r="C12" s="1059"/>
      <c r="D12" s="1059"/>
      <c r="E12" s="1059"/>
      <c r="F12" s="1059"/>
      <c r="G12" s="1060"/>
      <c r="I12" s="391"/>
    </row>
    <row r="13" spans="1:9" s="390" customFormat="1" ht="29.25" customHeight="1">
      <c r="B13" s="403" t="s">
        <v>211</v>
      </c>
      <c r="C13" s="404"/>
      <c r="D13" s="404"/>
      <c r="E13" s="405"/>
      <c r="F13" s="405"/>
      <c r="G13" s="406"/>
      <c r="I13" s="391"/>
    </row>
    <row r="14" spans="1:9" s="390" customFormat="1" ht="29.25" customHeight="1">
      <c r="B14" s="407" t="s">
        <v>361</v>
      </c>
      <c r="C14" s="404"/>
      <c r="D14" s="404"/>
      <c r="E14" s="405"/>
      <c r="F14" s="405"/>
      <c r="G14" s="406"/>
      <c r="I14" s="391"/>
    </row>
    <row r="15" spans="1:9" s="390" customFormat="1" ht="29.25" customHeight="1">
      <c r="B15" s="407" t="s">
        <v>362</v>
      </c>
      <c r="C15" s="404"/>
      <c r="D15" s="404"/>
      <c r="E15" s="405"/>
      <c r="F15" s="405"/>
      <c r="G15" s="406"/>
      <c r="I15" s="391"/>
    </row>
    <row r="16" spans="1:9" s="390" customFormat="1" ht="29.25" customHeight="1">
      <c r="B16" s="407" t="s">
        <v>364</v>
      </c>
      <c r="C16" s="404"/>
      <c r="D16" s="404"/>
      <c r="E16" s="405"/>
      <c r="F16" s="405"/>
      <c r="G16" s="406"/>
      <c r="I16" s="391"/>
    </row>
    <row r="17" spans="2:9" s="390" customFormat="1" ht="29.25" customHeight="1">
      <c r="B17" s="407" t="s">
        <v>365</v>
      </c>
      <c r="C17" s="404"/>
      <c r="D17" s="404"/>
      <c r="E17" s="405"/>
      <c r="F17" s="405"/>
      <c r="G17" s="406"/>
      <c r="I17" s="391"/>
    </row>
    <row r="18" spans="2:9" s="390" customFormat="1" ht="29.25" customHeight="1" thickBot="1">
      <c r="B18" s="1055" t="s">
        <v>103</v>
      </c>
      <c r="C18" s="1056"/>
      <c r="D18" s="1056"/>
      <c r="E18" s="1056"/>
      <c r="F18" s="1057"/>
      <c r="G18" s="412">
        <f>COUNTA(B13:B17)</f>
        <v>5</v>
      </c>
      <c r="I18" s="391"/>
    </row>
    <row r="19" spans="2:9" s="398" customFormat="1" ht="15.95" customHeight="1">
      <c r="H19" s="399"/>
    </row>
    <row r="20" spans="2:9" s="398" customFormat="1" ht="15.95" customHeight="1">
      <c r="H20" s="399"/>
    </row>
    <row r="21" spans="2:9" s="398" customFormat="1" ht="15.95" customHeight="1">
      <c r="H21" s="399"/>
    </row>
    <row r="22" spans="2:9" s="398" customFormat="1" ht="15.95" customHeight="1">
      <c r="H22" s="399"/>
    </row>
    <row r="23" spans="2:9" s="398" customFormat="1" ht="15.95" customHeight="1">
      <c r="H23" s="399"/>
    </row>
    <row r="24" spans="2:9" s="398" customFormat="1" ht="15.95" customHeight="1">
      <c r="H24" s="399"/>
    </row>
    <row r="25" spans="2:9" s="398" customFormat="1" ht="10.5">
      <c r="H25" s="399"/>
    </row>
    <row r="26" spans="2:9" s="398" customFormat="1" ht="15.95" customHeight="1">
      <c r="H26" s="399"/>
    </row>
    <row r="27" spans="2:9" s="398" customFormat="1" ht="15.95" customHeight="1">
      <c r="H27" s="399"/>
    </row>
    <row r="28" spans="2:9" s="398" customFormat="1" ht="15.95" customHeight="1">
      <c r="H28" s="399"/>
    </row>
    <row r="29" spans="2:9" s="398" customFormat="1" ht="15.95" customHeight="1">
      <c r="H29" s="399"/>
    </row>
    <row r="30" spans="2:9" s="398" customFormat="1" ht="15.95" customHeight="1">
      <c r="H30" s="399"/>
    </row>
    <row r="31" spans="2:9" s="398" customFormat="1" ht="15.95" customHeight="1">
      <c r="H31" s="399"/>
    </row>
    <row r="32" spans="2:9" s="398" customFormat="1" ht="15.95" customHeight="1">
      <c r="H32" s="399"/>
    </row>
    <row r="33" spans="8:17" s="398" customFormat="1" ht="10.5">
      <c r="H33" s="399"/>
    </row>
    <row r="34" spans="8:17" s="398" customFormat="1" ht="15.95" customHeight="1">
      <c r="H34" s="399"/>
    </row>
    <row r="35" spans="8:17" s="398" customFormat="1" ht="15.95" customHeight="1">
      <c r="H35" s="399"/>
    </row>
    <row r="36" spans="8:17" s="398" customFormat="1" ht="15.95" customHeight="1">
      <c r="H36" s="399"/>
    </row>
    <row r="37" spans="8:17" s="398" customFormat="1" ht="15.95" customHeight="1">
      <c r="H37" s="399"/>
    </row>
    <row r="38" spans="8:17" s="398" customFormat="1" ht="15.95" customHeight="1">
      <c r="H38" s="399"/>
    </row>
    <row r="39" spans="8:17" s="398" customFormat="1" ht="15.95" customHeight="1">
      <c r="H39" s="399"/>
    </row>
    <row r="40" spans="8:17" s="398" customFormat="1" ht="15.95" customHeight="1">
      <c r="Q40" s="399"/>
    </row>
    <row r="41" spans="8:17" s="398" customFormat="1" ht="15.95" customHeight="1">
      <c r="Q41" s="399"/>
    </row>
    <row r="42" spans="8:17" s="398" customFormat="1" ht="15.95" customHeight="1">
      <c r="Q42" s="399"/>
    </row>
    <row r="43" spans="8:17" s="398" customFormat="1" ht="15.95" customHeight="1">
      <c r="Q43" s="399"/>
    </row>
    <row r="44" spans="8:17" s="398" customFormat="1" ht="15.95" customHeight="1">
      <c r="Q44" s="399"/>
    </row>
    <row r="45" spans="8:17" s="398" customFormat="1" ht="15.95" customHeight="1">
      <c r="Q45" s="399"/>
    </row>
    <row r="46" spans="8:17" s="398" customFormat="1" ht="15.95" customHeight="1">
      <c r="Q46" s="399"/>
    </row>
    <row r="47" spans="8:17" s="398" customFormat="1" ht="15.95" customHeight="1">
      <c r="Q47" s="399"/>
    </row>
    <row r="48" spans="8:17" s="398" customFormat="1" ht="15.95" customHeight="1">
      <c r="Q48" s="399"/>
    </row>
    <row r="49" spans="17:17" s="398" customFormat="1" ht="15.95" customHeight="1">
      <c r="Q49" s="399"/>
    </row>
    <row r="50" spans="17:17" s="398" customFormat="1" ht="15.95" customHeight="1">
      <c r="Q50" s="399"/>
    </row>
    <row r="51" spans="17:17" s="398" customFormat="1" ht="15.95" customHeight="1">
      <c r="Q51" s="399"/>
    </row>
    <row r="52" spans="17:17" s="398" customFormat="1" ht="15.95" customHeight="1">
      <c r="Q52" s="399"/>
    </row>
    <row r="53" spans="17:17" s="398" customFormat="1" ht="15.95" customHeight="1">
      <c r="Q53" s="399"/>
    </row>
    <row r="54" spans="17:17" s="398" customFormat="1" ht="15.95" customHeight="1">
      <c r="Q54" s="399"/>
    </row>
    <row r="55" spans="17:17" s="398" customFormat="1" ht="15.95" customHeight="1">
      <c r="Q55" s="399"/>
    </row>
    <row r="56" spans="17:17" s="398" customFormat="1" ht="15.95" customHeight="1">
      <c r="Q56" s="399"/>
    </row>
    <row r="57" spans="17:17" s="398" customFormat="1" ht="15.95" customHeight="1">
      <c r="Q57" s="399"/>
    </row>
    <row r="58" spans="17:17" s="398" customFormat="1" ht="15.95" customHeight="1">
      <c r="Q58" s="399"/>
    </row>
    <row r="59" spans="17:17" s="398" customFormat="1" ht="15.95" customHeight="1">
      <c r="Q59" s="399"/>
    </row>
    <row r="60" spans="17:17" s="398" customFormat="1" ht="15.95" customHeight="1">
      <c r="Q60" s="399"/>
    </row>
    <row r="61" spans="17:17" s="398" customFormat="1" ht="15.95" customHeight="1">
      <c r="Q61" s="399"/>
    </row>
    <row r="62" spans="17:17" s="398" customFormat="1" ht="15.95" customHeight="1">
      <c r="Q62" s="399"/>
    </row>
    <row r="63" spans="17:17" s="398" customFormat="1" ht="15.95" customHeight="1">
      <c r="Q63" s="399"/>
    </row>
    <row r="64" spans="17:17" s="398" customFormat="1" ht="15.95" customHeight="1">
      <c r="Q64" s="399"/>
    </row>
    <row r="65" spans="17:17" s="398" customFormat="1" ht="15.95" customHeight="1">
      <c r="Q65" s="399"/>
    </row>
    <row r="66" spans="17:17" s="398" customFormat="1" ht="15.95" customHeight="1">
      <c r="Q66" s="399"/>
    </row>
    <row r="67" spans="17:17" s="398" customFormat="1" ht="15.95" customHeight="1">
      <c r="Q67" s="399"/>
    </row>
    <row r="68" spans="17:17" s="398" customFormat="1" ht="15.95" customHeight="1">
      <c r="Q68" s="399"/>
    </row>
    <row r="69" spans="17:17" s="398" customFormat="1" ht="15.95" customHeight="1">
      <c r="Q69" s="399"/>
    </row>
    <row r="70" spans="17:17" s="398" customFormat="1" ht="15.95" customHeight="1">
      <c r="Q70" s="399"/>
    </row>
    <row r="71" spans="17:17" s="398" customFormat="1" ht="15.95" customHeight="1">
      <c r="Q71" s="399"/>
    </row>
    <row r="72" spans="17:17" s="398" customFormat="1" ht="15.95" customHeight="1">
      <c r="Q72" s="399"/>
    </row>
    <row r="73" spans="17:17" s="398" customFormat="1" ht="15.95" customHeight="1">
      <c r="Q73" s="399"/>
    </row>
    <row r="74" spans="17:17" s="398" customFormat="1" ht="15.95" customHeight="1">
      <c r="Q74" s="399"/>
    </row>
    <row r="75" spans="17:17" s="398" customFormat="1" ht="15.95" customHeight="1">
      <c r="Q75" s="399"/>
    </row>
    <row r="76" spans="17:17" s="398" customFormat="1" ht="15.95" customHeight="1">
      <c r="Q76" s="399"/>
    </row>
    <row r="77" spans="17:17" s="398" customFormat="1" ht="15.95" customHeight="1">
      <c r="Q77" s="399"/>
    </row>
    <row r="78" spans="17:17" s="398" customFormat="1" ht="15.95" customHeight="1">
      <c r="Q78" s="399"/>
    </row>
    <row r="79" spans="17:17" s="398" customFormat="1" ht="15.95" customHeight="1">
      <c r="Q79" s="399"/>
    </row>
    <row r="80" spans="17:17" s="398" customFormat="1" ht="15.95" customHeight="1">
      <c r="Q80" s="399"/>
    </row>
    <row r="81" spans="17:17" s="398" customFormat="1" ht="15.95" customHeight="1">
      <c r="Q81" s="399"/>
    </row>
    <row r="82" spans="17:17" s="398" customFormat="1" ht="15.95" customHeight="1">
      <c r="Q82" s="399"/>
    </row>
    <row r="83" spans="17:17" s="398" customFormat="1" ht="15.95" customHeight="1">
      <c r="Q83" s="399"/>
    </row>
    <row r="84" spans="17:17" s="398" customFormat="1" ht="15.95" customHeight="1">
      <c r="Q84" s="399"/>
    </row>
    <row r="85" spans="17:17" s="398" customFormat="1" ht="15.95" customHeight="1">
      <c r="Q85" s="399"/>
    </row>
    <row r="86" spans="17:17" s="398" customFormat="1" ht="15.95" customHeight="1">
      <c r="Q86" s="399"/>
    </row>
    <row r="87" spans="17:17" s="398" customFormat="1" ht="15.95" customHeight="1">
      <c r="Q87" s="399"/>
    </row>
    <row r="88" spans="17:17" s="398" customFormat="1" ht="15.95" customHeight="1">
      <c r="Q88" s="399"/>
    </row>
    <row r="89" spans="17:17" s="398" customFormat="1" ht="15.95" customHeight="1">
      <c r="Q89" s="399"/>
    </row>
    <row r="90" spans="17:17" s="398" customFormat="1" ht="15.95" customHeight="1">
      <c r="Q90" s="399"/>
    </row>
    <row r="91" spans="17:17" s="398" customFormat="1" ht="15.95" customHeight="1">
      <c r="Q91" s="399"/>
    </row>
    <row r="92" spans="17:17" s="398" customFormat="1" ht="15.95" customHeight="1">
      <c r="Q92" s="399"/>
    </row>
    <row r="93" spans="17:17" s="398" customFormat="1" ht="15.95" customHeight="1">
      <c r="Q93" s="399"/>
    </row>
    <row r="94" spans="17:17" s="398" customFormat="1" ht="15.95" customHeight="1">
      <c r="Q94" s="399"/>
    </row>
    <row r="95" spans="17:17" s="398" customFormat="1" ht="15.95" customHeight="1">
      <c r="Q95" s="399"/>
    </row>
    <row r="96" spans="17:17" s="398" customFormat="1" ht="15.95" customHeight="1">
      <c r="Q96" s="399"/>
    </row>
    <row r="97" spans="2:17" s="398" customFormat="1" ht="15.95" customHeight="1">
      <c r="Q97" s="399"/>
    </row>
    <row r="98" spans="2:17" s="398" customFormat="1" ht="15.95" customHeight="1">
      <c r="Q98" s="399"/>
    </row>
    <row r="99" spans="2:17" s="398" customFormat="1" ht="15.95" customHeight="1">
      <c r="Q99" s="399"/>
    </row>
    <row r="100" spans="2:17" s="398" customFormat="1" ht="15.95" customHeight="1">
      <c r="Q100" s="399"/>
    </row>
    <row r="101" spans="2:17" s="398" customFormat="1" ht="15.95" customHeight="1">
      <c r="Q101" s="399"/>
    </row>
    <row r="102" spans="2:17" s="398" customFormat="1" ht="15.95" customHeight="1">
      <c r="Q102" s="399"/>
    </row>
    <row r="103" spans="2:17" s="398" customFormat="1" ht="15.95" customHeight="1">
      <c r="Q103" s="399"/>
    </row>
    <row r="104" spans="2:17" s="398" customFormat="1" ht="15.95" customHeight="1">
      <c r="Q104" s="399"/>
    </row>
    <row r="105" spans="2:17" s="398" customFormat="1" ht="15.95" customHeight="1">
      <c r="Q105" s="399"/>
    </row>
    <row r="106" spans="2:17" s="398" customFormat="1" ht="15.95" customHeight="1">
      <c r="Q106" s="399"/>
    </row>
    <row r="107" spans="2:17" s="398" customFormat="1" ht="15.95" customHeight="1">
      <c r="Q107" s="399"/>
    </row>
    <row r="108" spans="2:17" ht="15.95" customHeight="1">
      <c r="B108" s="398"/>
      <c r="C108" s="398"/>
      <c r="D108" s="398"/>
      <c r="E108" s="398"/>
      <c r="F108" s="398"/>
    </row>
  </sheetData>
  <mergeCells count="4">
    <mergeCell ref="B18:F18"/>
    <mergeCell ref="B12:G12"/>
    <mergeCell ref="B4:G4"/>
    <mergeCell ref="B10:F10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85" fitToHeight="4" orientation="landscape" horizont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FFCC"/>
  </sheetPr>
  <dimension ref="A1:M11"/>
  <sheetViews>
    <sheetView view="pageBreakPreview" zoomScaleNormal="100" zoomScaleSheetLayoutView="100" workbookViewId="0">
      <selection activeCell="K9" sqref="K9"/>
    </sheetView>
  </sheetViews>
  <sheetFormatPr defaultRowHeight="13.5"/>
  <cols>
    <col min="1" max="1" width="2.44140625" style="179" customWidth="1"/>
    <col min="2" max="2" width="39.33203125" style="179" customWidth="1"/>
    <col min="3" max="4" width="12.77734375" style="179" customWidth="1"/>
    <col min="5" max="5" width="6.77734375" style="179" customWidth="1"/>
    <col min="6" max="6" width="14.109375" style="179" customWidth="1"/>
    <col min="7" max="7" width="12.109375" style="179" customWidth="1"/>
    <col min="8" max="9" width="12.77734375" style="179" customWidth="1"/>
    <col min="10" max="10" width="8.88671875" style="179" customWidth="1"/>
    <col min="11" max="11" width="9.44140625" style="179" customWidth="1"/>
    <col min="12" max="16384" width="8.88671875" style="179"/>
  </cols>
  <sheetData>
    <row r="1" spans="1:13" s="398" customFormat="1" ht="28.5" customHeight="1">
      <c r="A1" s="397"/>
      <c r="B1" s="214" t="s">
        <v>354</v>
      </c>
      <c r="C1" s="214"/>
      <c r="D1" s="214"/>
      <c r="E1" s="214"/>
      <c r="F1" s="214"/>
      <c r="G1" s="215"/>
      <c r="H1" s="215"/>
      <c r="I1" s="215"/>
      <c r="J1" s="215"/>
      <c r="L1" s="399"/>
    </row>
    <row r="2" spans="1:13" s="398" customFormat="1" ht="8.25" customHeight="1">
      <c r="A2" s="397"/>
      <c r="B2" s="214"/>
      <c r="C2" s="214"/>
      <c r="D2" s="214"/>
      <c r="E2" s="214"/>
      <c r="F2" s="214"/>
      <c r="G2" s="215"/>
      <c r="H2" s="215"/>
      <c r="I2" s="215"/>
      <c r="J2" s="215"/>
      <c r="L2" s="399"/>
    </row>
    <row r="3" spans="1:13" s="398" customFormat="1" ht="27" customHeight="1" thickBot="1">
      <c r="A3" s="397"/>
      <c r="B3" s="214" t="s">
        <v>543</v>
      </c>
      <c r="C3" s="214"/>
      <c r="D3" s="214"/>
      <c r="E3" s="214"/>
      <c r="F3" s="214"/>
      <c r="G3" s="215"/>
      <c r="H3" s="215"/>
      <c r="I3" s="215"/>
      <c r="J3" s="215"/>
      <c r="L3" s="399"/>
    </row>
    <row r="4" spans="1:13" s="390" customFormat="1" ht="29.25" customHeight="1">
      <c r="B4" s="1072" t="s">
        <v>368</v>
      </c>
      <c r="C4" s="1064" t="s">
        <v>369</v>
      </c>
      <c r="D4" s="1064"/>
      <c r="E4" s="1064"/>
      <c r="F4" s="1064" t="s">
        <v>22</v>
      </c>
      <c r="G4" s="1064" t="s">
        <v>372</v>
      </c>
      <c r="H4" s="1064" t="s">
        <v>371</v>
      </c>
      <c r="I4" s="1064"/>
      <c r="J4" s="1064"/>
      <c r="K4" s="1070" t="s">
        <v>382</v>
      </c>
      <c r="M4" s="391"/>
    </row>
    <row r="5" spans="1:13" s="390" customFormat="1" ht="29.25" customHeight="1">
      <c r="B5" s="1073"/>
      <c r="C5" s="413" t="s">
        <v>379</v>
      </c>
      <c r="D5" s="413" t="s">
        <v>380</v>
      </c>
      <c r="E5" s="413" t="s">
        <v>381</v>
      </c>
      <c r="F5" s="1074"/>
      <c r="G5" s="1074"/>
      <c r="H5" s="413" t="s">
        <v>379</v>
      </c>
      <c r="I5" s="413" t="s">
        <v>380</v>
      </c>
      <c r="J5" s="413" t="s">
        <v>381</v>
      </c>
      <c r="K5" s="1071"/>
      <c r="M5" s="391"/>
    </row>
    <row r="6" spans="1:13" s="390" customFormat="1" ht="29.25" customHeight="1">
      <c r="B6" s="1065" t="s">
        <v>370</v>
      </c>
      <c r="C6" s="1068">
        <v>42005</v>
      </c>
      <c r="D6" s="1068">
        <v>42369</v>
      </c>
      <c r="E6" s="1069">
        <f>D6-C6+1</f>
        <v>365</v>
      </c>
      <c r="F6" s="414"/>
      <c r="G6" s="404" t="s">
        <v>224</v>
      </c>
      <c r="H6" s="415">
        <v>42005</v>
      </c>
      <c r="I6" s="416">
        <v>42369</v>
      </c>
      <c r="J6" s="417">
        <f>I6-H6+1</f>
        <v>365</v>
      </c>
      <c r="K6" s="418">
        <f>IF(J6&gt;=($E$6/2),1,0)</f>
        <v>1</v>
      </c>
      <c r="M6" s="391"/>
    </row>
    <row r="7" spans="1:13" s="390" customFormat="1" ht="29.25" customHeight="1">
      <c r="B7" s="1066"/>
      <c r="C7" s="1068"/>
      <c r="D7" s="1068"/>
      <c r="E7" s="1069"/>
      <c r="F7" s="419"/>
      <c r="G7" s="404"/>
      <c r="H7" s="415">
        <v>42154</v>
      </c>
      <c r="I7" s="416">
        <v>42369</v>
      </c>
      <c r="J7" s="417">
        <f t="shared" ref="J7:J10" si="0">I7-H7+1</f>
        <v>216</v>
      </c>
      <c r="K7" s="420">
        <f t="shared" ref="K7:K10" si="1">IF(J7&gt;=($E$6/2),1,0)</f>
        <v>1</v>
      </c>
      <c r="M7" s="391"/>
    </row>
    <row r="8" spans="1:13" s="390" customFormat="1" ht="29.25" customHeight="1">
      <c r="B8" s="1066"/>
      <c r="C8" s="1068"/>
      <c r="D8" s="1068"/>
      <c r="E8" s="1069"/>
      <c r="F8" s="419"/>
      <c r="G8" s="404"/>
      <c r="H8" s="415">
        <v>42217</v>
      </c>
      <c r="I8" s="416">
        <v>42369</v>
      </c>
      <c r="J8" s="417">
        <f t="shared" si="0"/>
        <v>153</v>
      </c>
      <c r="K8" s="420">
        <f t="shared" si="1"/>
        <v>0</v>
      </c>
      <c r="M8" s="391"/>
    </row>
    <row r="9" spans="1:13" s="390" customFormat="1" ht="29.25" customHeight="1">
      <c r="B9" s="1066"/>
      <c r="C9" s="1068"/>
      <c r="D9" s="1068"/>
      <c r="E9" s="1069"/>
      <c r="F9" s="419"/>
      <c r="G9" s="404"/>
      <c r="H9" s="415">
        <v>42309</v>
      </c>
      <c r="I9" s="416">
        <v>42338</v>
      </c>
      <c r="J9" s="417">
        <f t="shared" si="0"/>
        <v>30</v>
      </c>
      <c r="K9" s="420">
        <f t="shared" si="1"/>
        <v>0</v>
      </c>
      <c r="M9" s="391"/>
    </row>
    <row r="10" spans="1:13" s="390" customFormat="1" ht="29.25" customHeight="1">
      <c r="B10" s="1067"/>
      <c r="C10" s="1068"/>
      <c r="D10" s="1068"/>
      <c r="E10" s="1069"/>
      <c r="F10" s="419"/>
      <c r="G10" s="404"/>
      <c r="H10" s="415">
        <v>42186</v>
      </c>
      <c r="I10" s="416">
        <v>42246</v>
      </c>
      <c r="J10" s="417">
        <f t="shared" si="0"/>
        <v>61</v>
      </c>
      <c r="K10" s="420">
        <f t="shared" si="1"/>
        <v>0</v>
      </c>
      <c r="M10" s="391"/>
    </row>
    <row r="11" spans="1:13" s="390" customFormat="1" ht="29.25" customHeight="1" thickBot="1">
      <c r="B11" s="1055" t="s">
        <v>103</v>
      </c>
      <c r="C11" s="1056"/>
      <c r="D11" s="1056"/>
      <c r="E11" s="1056"/>
      <c r="F11" s="1056"/>
      <c r="G11" s="1056"/>
      <c r="H11" s="1056"/>
      <c r="I11" s="1056"/>
      <c r="J11" s="1056"/>
      <c r="K11" s="408">
        <f>SUM(K6:K10)</f>
        <v>2</v>
      </c>
      <c r="M11" s="391"/>
    </row>
  </sheetData>
  <mergeCells count="11">
    <mergeCell ref="K4:K5"/>
    <mergeCell ref="B4:B5"/>
    <mergeCell ref="F4:F5"/>
    <mergeCell ref="G4:G5"/>
    <mergeCell ref="H4:J4"/>
    <mergeCell ref="B11:J11"/>
    <mergeCell ref="C4:E4"/>
    <mergeCell ref="B6:B10"/>
    <mergeCell ref="C6:C10"/>
    <mergeCell ref="D6:D10"/>
    <mergeCell ref="E6:E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7" enableFormatConditionsCalculation="0">
    <tabColor indexed="10"/>
    <pageSetUpPr fitToPage="1"/>
  </sheetPr>
  <dimension ref="A1:L28"/>
  <sheetViews>
    <sheetView view="pageBreakPreview" zoomScale="85" zoomScaleNormal="100" workbookViewId="0">
      <selection activeCell="C18" sqref="C18"/>
    </sheetView>
  </sheetViews>
  <sheetFormatPr defaultRowHeight="15.95" customHeight="1"/>
  <cols>
    <col min="1" max="1" width="2.109375" style="179" customWidth="1"/>
    <col min="2" max="3" width="20.21875" style="179" customWidth="1"/>
    <col min="4" max="4" width="26.5546875" style="179" customWidth="1"/>
    <col min="5" max="5" width="16.21875" style="179" bestFit="1" customWidth="1"/>
    <col min="6" max="6" width="13.77734375" style="179" customWidth="1"/>
    <col min="7" max="7" width="11.109375" style="452" customWidth="1"/>
    <col min="8" max="8" width="16.5546875" style="179" customWidth="1"/>
    <col min="9" max="9" width="19" style="179" customWidth="1"/>
    <col min="10" max="10" width="10.5546875" style="179" customWidth="1"/>
    <col min="11" max="11" width="7.44140625" style="179" bestFit="1" customWidth="1"/>
    <col min="12" max="12" width="11.88671875" style="179" customWidth="1"/>
    <col min="13" max="13" width="11.109375" style="179" customWidth="1"/>
    <col min="14" max="16384" width="8.88671875" style="179"/>
  </cols>
  <sheetData>
    <row r="1" spans="1:12" s="422" customFormat="1" ht="32.25" customHeight="1">
      <c r="A1" s="421" t="s">
        <v>407</v>
      </c>
      <c r="G1" s="423"/>
    </row>
    <row r="2" spans="1:12" s="191" customFormat="1" ht="8.25" customHeight="1" thickBot="1">
      <c r="A2" s="424"/>
      <c r="G2" s="425"/>
    </row>
    <row r="3" spans="1:12" s="181" customFormat="1" ht="27" customHeight="1">
      <c r="B3" s="1075" t="s">
        <v>97</v>
      </c>
      <c r="C3" s="1093" t="s">
        <v>405</v>
      </c>
      <c r="D3" s="1093" t="s">
        <v>44</v>
      </c>
      <c r="E3" s="1093" t="s">
        <v>52</v>
      </c>
      <c r="F3" s="1095" t="s">
        <v>46</v>
      </c>
      <c r="G3" s="1091" t="s">
        <v>55</v>
      </c>
      <c r="H3" s="1085" t="s">
        <v>45</v>
      </c>
    </row>
    <row r="4" spans="1:12" s="181" customFormat="1" ht="27" customHeight="1">
      <c r="B4" s="1076"/>
      <c r="C4" s="1094"/>
      <c r="D4" s="1094"/>
      <c r="E4" s="1094"/>
      <c r="F4" s="1096"/>
      <c r="G4" s="1092"/>
      <c r="H4" s="1086"/>
    </row>
    <row r="5" spans="1:12" s="181" customFormat="1" ht="27" customHeight="1">
      <c r="B5" s="1079" t="s">
        <v>402</v>
      </c>
      <c r="C5" s="1082">
        <f>배점기준!D91</f>
        <v>7</v>
      </c>
      <c r="D5" s="426" t="str">
        <f>참여업체!C6</f>
        <v>㈜ㅁㅁ엔지니어링</v>
      </c>
      <c r="E5" s="427">
        <f>업체수행실적!L20</f>
        <v>7.32</v>
      </c>
      <c r="F5" s="428">
        <f>IF(E5&gt;=배점기준!$F$91,배점기준!$F$92,IF(E5&gt;=배점기준!$G$91,배점기준!$G$92,IF(E5&gt;=배점기준!$H$91,배점기준!$H$92,IF(E5&gt;=배점기준!$I$91,배점기준!$I$92,IF(E5&lt;배점기준!$J$91,배점기준!$J$92)))))</f>
        <v>5.6000000000000005</v>
      </c>
      <c r="G5" s="429">
        <f>참여업체!C7</f>
        <v>0.5</v>
      </c>
      <c r="H5" s="1087">
        <f>ROUND((F5*G5)+(F6*G6)+(F7*G7),2)</f>
        <v>5.6</v>
      </c>
    </row>
    <row r="6" spans="1:12" s="181" customFormat="1" ht="27" customHeight="1">
      <c r="B6" s="1080"/>
      <c r="C6" s="1083"/>
      <c r="D6" s="430" t="str">
        <f>참여업체!D6</f>
        <v>ㅇㅇ엔지니어링㈜</v>
      </c>
      <c r="E6" s="431">
        <f>업체수행실적!L41</f>
        <v>7.32</v>
      </c>
      <c r="F6" s="432">
        <f>IF(E6&gt;=배점기준!$F$91,배점기준!$F$92,IF(E6&gt;=배점기준!$G$91,배점기준!$G$92,IF(E6&gt;=배점기준!$H$91,배점기준!$H$92,IF(E6&gt;=배점기준!$I$91,배점기준!$I$92,IF(E6&lt;배점기준!$J$91,배점기준!$J$92)))))</f>
        <v>5.6000000000000005</v>
      </c>
      <c r="G6" s="433">
        <f>참여업체!D7</f>
        <v>0.3</v>
      </c>
      <c r="H6" s="1088"/>
    </row>
    <row r="7" spans="1:12" s="181" customFormat="1" ht="27" customHeight="1">
      <c r="B7" s="1081"/>
      <c r="C7" s="1097"/>
      <c r="D7" s="434" t="str">
        <f>참여업체!E6</f>
        <v>◇◇기술공사㈜</v>
      </c>
      <c r="E7" s="435">
        <f>업체수행실적!L62</f>
        <v>7.32</v>
      </c>
      <c r="F7" s="436">
        <f>IF(E7&gt;=배점기준!$F$91,배점기준!$F$92,IF(E7&gt;=배점기준!$G$91,배점기준!$G$92,IF(E7&gt;=배점기준!$H$91,배점기준!$H$92,IF(E7&gt;=배점기준!$I$91,배점기준!$I$92,IF(E7&lt;배점기준!$J$91,배점기준!$J$92)))))</f>
        <v>5.6000000000000005</v>
      </c>
      <c r="G7" s="437">
        <f>참여업체!E7</f>
        <v>0.2</v>
      </c>
      <c r="H7" s="1090"/>
    </row>
    <row r="8" spans="1:12" ht="27" customHeight="1">
      <c r="B8" s="1077" t="s">
        <v>161</v>
      </c>
      <c r="C8" s="1082">
        <f>배점기준!D93</f>
        <v>7</v>
      </c>
      <c r="D8" s="426" t="str">
        <f>참여업체!C6</f>
        <v>㈜ㅁㅁ엔지니어링</v>
      </c>
      <c r="E8" s="438">
        <f>업체수행실적!M21</f>
        <v>4.22</v>
      </c>
      <c r="F8" s="428">
        <f>IF(E8&gt;=배점기준!$F$93,배점기준!$F$94,IF(E8&gt;=배점기준!$G$93,배점기준!$G$94,IF(E8&gt;=배점기준!$H$93,배점기준!$H$94,IF(E8&gt;=배점기준!$I$93,배점기준!$I$94,IF(E8&lt;배점기준!$J$93,배점기준!$J$94)))))</f>
        <v>7</v>
      </c>
      <c r="G8" s="429">
        <f>참여업체!C7</f>
        <v>0.5</v>
      </c>
      <c r="H8" s="1087">
        <f>ROUND((F8*G8)+(F9*G9)+(F10*G10),2)</f>
        <v>7</v>
      </c>
    </row>
    <row r="9" spans="1:12" ht="27" customHeight="1">
      <c r="B9" s="1077"/>
      <c r="C9" s="1083"/>
      <c r="D9" s="430" t="str">
        <f>참여업체!D6</f>
        <v>ㅇㅇ엔지니어링㈜</v>
      </c>
      <c r="E9" s="439">
        <f>업체수행실적!M42</f>
        <v>4.22</v>
      </c>
      <c r="F9" s="432">
        <f>IF(E9&gt;=배점기준!$F$93,배점기준!$F$94,IF(E9&gt;=배점기준!$G$93,배점기준!$G$94,IF(E9&gt;=배점기준!$H$93,배점기준!$H$94,IF(E9&gt;=배점기준!$I$93,배점기준!$I$94,IF(E9&lt;배점기준!$J$93,배점기준!$J$94)))))</f>
        <v>7</v>
      </c>
      <c r="G9" s="433">
        <f>참여업체!D7</f>
        <v>0.3</v>
      </c>
      <c r="H9" s="1088"/>
    </row>
    <row r="10" spans="1:12" ht="27" customHeight="1" thickBot="1">
      <c r="B10" s="1078"/>
      <c r="C10" s="1084"/>
      <c r="D10" s="440" t="str">
        <f>참여업체!E6</f>
        <v>◇◇기술공사㈜</v>
      </c>
      <c r="E10" s="441">
        <f>업체수행실적!M63</f>
        <v>4.22</v>
      </c>
      <c r="F10" s="442">
        <f>IF(E10&gt;=배점기준!$F$93,배점기준!$F$94,IF(E10&gt;=배점기준!$G$93,배점기준!$G$94,IF(E10&gt;=배점기준!$H$93,배점기준!$H$94,IF(E10&gt;=배점기준!$I$93,배점기준!$I$94,IF(E10&lt;배점기준!$J$93,배점기준!$J$94)))))</f>
        <v>7</v>
      </c>
      <c r="G10" s="443">
        <f>참여업체!E7</f>
        <v>0.2</v>
      </c>
      <c r="H10" s="1089"/>
    </row>
    <row r="11" spans="1:12" ht="27" customHeight="1">
      <c r="B11" s="376"/>
      <c r="C11" s="376"/>
      <c r="D11" s="444"/>
      <c r="E11" s="445"/>
      <c r="F11" s="446"/>
      <c r="G11" s="445"/>
      <c r="H11" s="447"/>
    </row>
    <row r="12" spans="1:12" ht="15.95" customHeight="1">
      <c r="B12" s="448"/>
      <c r="C12" s="448"/>
      <c r="D12" s="448"/>
      <c r="E12" s="448"/>
      <c r="F12" s="448"/>
      <c r="G12" s="449"/>
      <c r="I12" s="448"/>
      <c r="J12" s="448"/>
      <c r="K12" s="448"/>
      <c r="L12" s="448"/>
    </row>
    <row r="13" spans="1:12" ht="15.95" customHeight="1">
      <c r="B13" s="448"/>
      <c r="C13" s="448"/>
      <c r="D13" s="448"/>
      <c r="E13" s="448"/>
      <c r="F13" s="448"/>
      <c r="G13" s="449"/>
      <c r="I13" s="448"/>
      <c r="J13" s="448"/>
      <c r="K13" s="448"/>
      <c r="L13" s="448"/>
    </row>
    <row r="14" spans="1:12" ht="15.95" customHeight="1">
      <c r="B14" s="448"/>
      <c r="C14" s="448"/>
      <c r="E14" s="448"/>
      <c r="F14" s="448"/>
      <c r="G14" s="449"/>
      <c r="I14" s="448"/>
      <c r="J14" s="448"/>
      <c r="K14" s="448"/>
      <c r="L14" s="448"/>
    </row>
    <row r="15" spans="1:12" ht="15.95" customHeight="1">
      <c r="B15" s="448"/>
      <c r="C15" s="448"/>
      <c r="E15" s="448"/>
      <c r="F15" s="448"/>
      <c r="G15" s="449"/>
      <c r="I15" s="448"/>
      <c r="J15" s="448"/>
      <c r="K15" s="448"/>
      <c r="L15" s="448"/>
    </row>
    <row r="16" spans="1:12" ht="15.95" customHeight="1">
      <c r="B16" s="448"/>
      <c r="C16" s="448"/>
      <c r="E16" s="450"/>
      <c r="F16" s="450"/>
      <c r="G16" s="451"/>
      <c r="I16" s="448"/>
      <c r="J16" s="450"/>
      <c r="K16" s="450"/>
      <c r="L16" s="450"/>
    </row>
    <row r="17" spans="2:12" ht="15.95" customHeight="1">
      <c r="B17" s="448"/>
      <c r="C17" s="448"/>
      <c r="E17" s="450"/>
      <c r="F17" s="450"/>
      <c r="G17" s="451"/>
      <c r="I17" s="448"/>
      <c r="J17" s="450"/>
      <c r="K17" s="450"/>
      <c r="L17" s="450"/>
    </row>
    <row r="18" spans="2:12" ht="15.95" customHeight="1">
      <c r="B18" s="448"/>
      <c r="C18" s="448"/>
      <c r="E18" s="450"/>
      <c r="F18" s="450"/>
      <c r="G18" s="451"/>
      <c r="I18" s="448"/>
      <c r="J18" s="450"/>
      <c r="K18" s="450"/>
      <c r="L18" s="450"/>
    </row>
    <row r="19" spans="2:12" ht="15.95" customHeight="1">
      <c r="B19" s="448"/>
      <c r="C19" s="448"/>
      <c r="D19" s="448"/>
      <c r="E19" s="448"/>
      <c r="F19" s="448"/>
      <c r="G19" s="449"/>
      <c r="I19" s="448"/>
      <c r="J19" s="448"/>
      <c r="K19" s="448"/>
      <c r="L19" s="448"/>
    </row>
    <row r="20" spans="2:12" ht="15.95" customHeight="1">
      <c r="B20" s="448"/>
      <c r="C20" s="448"/>
      <c r="D20" s="448"/>
      <c r="E20" s="448"/>
      <c r="F20" s="448"/>
      <c r="G20" s="449"/>
      <c r="I20" s="448"/>
      <c r="J20" s="448"/>
      <c r="K20" s="448"/>
      <c r="L20" s="448"/>
    </row>
    <row r="21" spans="2:12" ht="15.95" customHeight="1">
      <c r="B21" s="448"/>
      <c r="C21" s="448"/>
      <c r="D21" s="448"/>
      <c r="E21" s="448"/>
      <c r="F21" s="448"/>
      <c r="G21" s="449"/>
      <c r="I21" s="448"/>
      <c r="J21" s="448"/>
      <c r="K21" s="448"/>
      <c r="L21" s="448"/>
    </row>
    <row r="22" spans="2:12" ht="15.95" customHeight="1">
      <c r="B22" s="448"/>
      <c r="C22" s="448"/>
      <c r="D22" s="448"/>
      <c r="E22" s="448"/>
      <c r="F22" s="448"/>
      <c r="G22" s="449"/>
      <c r="I22" s="448"/>
      <c r="J22" s="448"/>
      <c r="K22" s="448"/>
      <c r="L22" s="448"/>
    </row>
    <row r="28" spans="2:12" ht="15.95" customHeight="1">
      <c r="H28" s="309"/>
    </row>
  </sheetData>
  <mergeCells count="13">
    <mergeCell ref="B3:B4"/>
    <mergeCell ref="B8:B10"/>
    <mergeCell ref="B5:B7"/>
    <mergeCell ref="C8:C10"/>
    <mergeCell ref="H3:H4"/>
    <mergeCell ref="H8:H10"/>
    <mergeCell ref="H5:H7"/>
    <mergeCell ref="G3:G4"/>
    <mergeCell ref="D3:D4"/>
    <mergeCell ref="F3:F4"/>
    <mergeCell ref="E3:E4"/>
    <mergeCell ref="C3:C4"/>
    <mergeCell ref="C5:C7"/>
  </mergeCells>
  <phoneticPr fontId="2" type="noConversion"/>
  <pageMargins left="0.75" right="0.75" top="1" bottom="1" header="0.5" footer="0.5"/>
  <pageSetup paperSize="9" scale="89" orientation="landscape" horizontalDpi="4294967293" r:id="rId1"/>
  <headerFooter alignWithMargins="0"/>
  <rowBreaks count="1" manualBreakCount="1">
    <brk id="15" max="8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23" enableFormatConditionsCalculation="0">
    <tabColor indexed="42"/>
  </sheetPr>
  <dimension ref="A1:R112"/>
  <sheetViews>
    <sheetView view="pageBreakPreview" topLeftCell="A33" zoomScaleNormal="115" zoomScaleSheetLayoutView="100" workbookViewId="0">
      <selection activeCell="A45" sqref="A1:XFD1048576"/>
    </sheetView>
  </sheetViews>
  <sheetFormatPr defaultRowHeight="12" customHeight="1"/>
  <cols>
    <col min="1" max="1" width="3.77734375" style="323" customWidth="1"/>
    <col min="2" max="2" width="25.77734375" style="319" customWidth="1"/>
    <col min="3" max="3" width="29.21875" style="319" customWidth="1"/>
    <col min="4" max="4" width="9.88671875" style="319" customWidth="1"/>
    <col min="5" max="6" width="10.109375" style="319" bestFit="1" customWidth="1"/>
    <col min="7" max="7" width="10.33203125" style="500" customWidth="1"/>
    <col min="8" max="8" width="12.33203125" style="321" customWidth="1"/>
    <col min="9" max="9" width="7" style="321" customWidth="1"/>
    <col min="10" max="11" width="8.77734375" style="321" customWidth="1"/>
    <col min="12" max="12" width="9.77734375" style="321" customWidth="1"/>
    <col min="13" max="13" width="13.109375" style="321" customWidth="1"/>
    <col min="14" max="14" width="6.33203125" style="323" customWidth="1"/>
    <col min="15" max="15" width="1.44140625" style="323" customWidth="1"/>
    <col min="16" max="16384" width="8.88671875" style="323"/>
  </cols>
  <sheetData>
    <row r="1" spans="1:18" s="458" customFormat="1" ht="30" customHeight="1">
      <c r="A1" s="1106" t="s">
        <v>544</v>
      </c>
      <c r="B1" s="1106"/>
      <c r="C1" s="454"/>
      <c r="D1" s="455"/>
      <c r="E1" s="455"/>
      <c r="F1" s="455"/>
      <c r="G1" s="456"/>
      <c r="H1" s="457"/>
      <c r="I1" s="457"/>
      <c r="J1" s="457"/>
      <c r="K1" s="457"/>
      <c r="L1" s="457"/>
    </row>
    <row r="2" spans="1:18" s="458" customFormat="1" ht="30" customHeight="1" thickBot="1">
      <c r="A2" s="459"/>
      <c r="B2" s="459" t="str">
        <f>참여업체!C6</f>
        <v>㈜ㅁㅁ엔지니어링</v>
      </c>
      <c r="C2" s="454"/>
      <c r="D2" s="455"/>
      <c r="E2" s="455"/>
      <c r="F2" s="455"/>
      <c r="G2" s="456"/>
      <c r="H2" s="457"/>
      <c r="I2" s="457"/>
      <c r="J2" s="457"/>
      <c r="K2" s="457"/>
      <c r="L2" s="457"/>
    </row>
    <row r="3" spans="1:18" s="460" customFormat="1" ht="24" customHeight="1">
      <c r="A3" s="987" t="s">
        <v>6</v>
      </c>
      <c r="B3" s="989" t="s">
        <v>7</v>
      </c>
      <c r="C3" s="980" t="s">
        <v>8</v>
      </c>
      <c r="D3" s="980" t="s">
        <v>24</v>
      </c>
      <c r="E3" s="1100" t="s">
        <v>25</v>
      </c>
      <c r="F3" s="1101"/>
      <c r="G3" s="1102" t="s">
        <v>398</v>
      </c>
      <c r="H3" s="1112" t="s">
        <v>399</v>
      </c>
      <c r="I3" s="1104" t="s">
        <v>400</v>
      </c>
      <c r="J3" s="1000" t="s">
        <v>214</v>
      </c>
      <c r="K3" s="1001"/>
      <c r="L3" s="978" t="s">
        <v>184</v>
      </c>
      <c r="M3" s="978" t="s">
        <v>401</v>
      </c>
      <c r="N3" s="1098" t="s">
        <v>9</v>
      </c>
    </row>
    <row r="4" spans="1:18" s="460" customFormat="1" ht="27.75" customHeight="1">
      <c r="A4" s="988"/>
      <c r="B4" s="990"/>
      <c r="C4" s="981"/>
      <c r="D4" s="981"/>
      <c r="E4" s="287" t="s">
        <v>387</v>
      </c>
      <c r="F4" s="287" t="s">
        <v>388</v>
      </c>
      <c r="G4" s="1103"/>
      <c r="H4" s="1113"/>
      <c r="I4" s="1105"/>
      <c r="J4" s="143" t="s">
        <v>215</v>
      </c>
      <c r="K4" s="144" t="s">
        <v>216</v>
      </c>
      <c r="L4" s="979"/>
      <c r="M4" s="979"/>
      <c r="N4" s="1099"/>
      <c r="R4" s="461" t="s">
        <v>251</v>
      </c>
    </row>
    <row r="5" spans="1:18" s="468" customFormat="1" ht="24.95" customHeight="1">
      <c r="A5" s="297">
        <v>1</v>
      </c>
      <c r="B5" s="290" t="s">
        <v>171</v>
      </c>
      <c r="C5" s="462"/>
      <c r="D5" s="291" t="s">
        <v>10</v>
      </c>
      <c r="E5" s="292">
        <v>38307</v>
      </c>
      <c r="F5" s="292">
        <v>39249</v>
      </c>
      <c r="G5" s="463">
        <v>500</v>
      </c>
      <c r="H5" s="464">
        <v>200</v>
      </c>
      <c r="I5" s="465">
        <v>0.8</v>
      </c>
      <c r="J5" s="295">
        <v>1</v>
      </c>
      <c r="K5" s="332">
        <v>0.6</v>
      </c>
      <c r="L5" s="466">
        <f>I5*J5*K5</f>
        <v>0.48</v>
      </c>
      <c r="M5" s="453">
        <f>H5*I5*J5*K5</f>
        <v>96</v>
      </c>
      <c r="N5" s="467"/>
      <c r="R5" s="469">
        <v>1</v>
      </c>
    </row>
    <row r="6" spans="1:18" s="468" customFormat="1" ht="24.95" customHeight="1">
      <c r="A6" s="297">
        <v>2</v>
      </c>
      <c r="B6" s="290" t="s">
        <v>19</v>
      </c>
      <c r="C6" s="290"/>
      <c r="D6" s="291" t="s">
        <v>10</v>
      </c>
      <c r="E6" s="292">
        <v>38098</v>
      </c>
      <c r="F6" s="292">
        <v>39314</v>
      </c>
      <c r="G6" s="470">
        <v>600</v>
      </c>
      <c r="H6" s="471">
        <v>300</v>
      </c>
      <c r="I6" s="465">
        <v>0.7</v>
      </c>
      <c r="J6" s="295">
        <v>1</v>
      </c>
      <c r="K6" s="332">
        <v>0.6</v>
      </c>
      <c r="L6" s="466">
        <f t="shared" ref="L6:L19" si="0">I6*J6*K6</f>
        <v>0.42</v>
      </c>
      <c r="M6" s="453">
        <f t="shared" ref="M6:M19" si="1">H6*I6*J6*K6</f>
        <v>126</v>
      </c>
      <c r="N6" s="467"/>
      <c r="R6" s="469">
        <v>0.6</v>
      </c>
    </row>
    <row r="7" spans="1:18" s="468" customFormat="1" ht="24.95" customHeight="1">
      <c r="A7" s="297">
        <v>3</v>
      </c>
      <c r="B7" s="290" t="s">
        <v>20</v>
      </c>
      <c r="C7" s="290"/>
      <c r="D7" s="291" t="s">
        <v>10</v>
      </c>
      <c r="E7" s="292">
        <v>38784</v>
      </c>
      <c r="F7" s="292">
        <v>39301</v>
      </c>
      <c r="G7" s="470">
        <v>500</v>
      </c>
      <c r="H7" s="471">
        <v>200</v>
      </c>
      <c r="I7" s="465">
        <v>0.7</v>
      </c>
      <c r="J7" s="295">
        <v>1</v>
      </c>
      <c r="K7" s="332">
        <v>0.6</v>
      </c>
      <c r="L7" s="466">
        <f t="shared" si="0"/>
        <v>0.42</v>
      </c>
      <c r="M7" s="453">
        <f t="shared" si="1"/>
        <v>84</v>
      </c>
      <c r="N7" s="467"/>
      <c r="R7" s="472"/>
    </row>
    <row r="8" spans="1:18" s="473" customFormat="1" ht="24.95" customHeight="1">
      <c r="A8" s="297">
        <v>4</v>
      </c>
      <c r="B8" s="290" t="s">
        <v>21</v>
      </c>
      <c r="C8" s="290"/>
      <c r="D8" s="291" t="s">
        <v>10</v>
      </c>
      <c r="E8" s="292">
        <v>38828</v>
      </c>
      <c r="F8" s="292">
        <v>39314</v>
      </c>
      <c r="G8" s="470">
        <v>1000</v>
      </c>
      <c r="H8" s="471">
        <v>500</v>
      </c>
      <c r="I8" s="465">
        <v>1</v>
      </c>
      <c r="J8" s="295">
        <v>1</v>
      </c>
      <c r="K8" s="332">
        <v>0.6</v>
      </c>
      <c r="L8" s="466">
        <f t="shared" si="0"/>
        <v>0.6</v>
      </c>
      <c r="M8" s="453">
        <f t="shared" si="1"/>
        <v>300</v>
      </c>
      <c r="N8" s="467"/>
    </row>
    <row r="9" spans="1:18" s="473" customFormat="1" ht="24.95" customHeight="1">
      <c r="A9" s="297">
        <v>5</v>
      </c>
      <c r="B9" s="290" t="s">
        <v>188</v>
      </c>
      <c r="C9" s="290"/>
      <c r="D9" s="291" t="s">
        <v>10</v>
      </c>
      <c r="E9" s="292">
        <v>38098</v>
      </c>
      <c r="F9" s="292">
        <v>39314</v>
      </c>
      <c r="G9" s="470">
        <v>300</v>
      </c>
      <c r="H9" s="471">
        <v>100</v>
      </c>
      <c r="I9" s="465">
        <v>0.8</v>
      </c>
      <c r="J9" s="295">
        <v>1</v>
      </c>
      <c r="K9" s="332">
        <v>0.6</v>
      </c>
      <c r="L9" s="466">
        <f t="shared" si="0"/>
        <v>0.48</v>
      </c>
      <c r="M9" s="453">
        <f t="shared" si="1"/>
        <v>48</v>
      </c>
      <c r="N9" s="467"/>
    </row>
    <row r="10" spans="1:18" s="473" customFormat="1" ht="24.95" customHeight="1">
      <c r="A10" s="297">
        <v>6</v>
      </c>
      <c r="B10" s="290" t="s">
        <v>188</v>
      </c>
      <c r="C10" s="290"/>
      <c r="D10" s="291" t="s">
        <v>10</v>
      </c>
      <c r="E10" s="292">
        <v>38098</v>
      </c>
      <c r="F10" s="292">
        <v>39314</v>
      </c>
      <c r="G10" s="470">
        <v>300</v>
      </c>
      <c r="H10" s="471">
        <v>100</v>
      </c>
      <c r="I10" s="465">
        <v>0.7</v>
      </c>
      <c r="J10" s="295">
        <v>1</v>
      </c>
      <c r="K10" s="332">
        <v>0.6</v>
      </c>
      <c r="L10" s="466">
        <f t="shared" si="0"/>
        <v>0.42</v>
      </c>
      <c r="M10" s="453">
        <f t="shared" si="1"/>
        <v>42</v>
      </c>
      <c r="N10" s="467"/>
    </row>
    <row r="11" spans="1:18" s="468" customFormat="1" ht="24.95" customHeight="1">
      <c r="A11" s="297">
        <v>7</v>
      </c>
      <c r="B11" s="290" t="s">
        <v>188</v>
      </c>
      <c r="C11" s="290"/>
      <c r="D11" s="291" t="s">
        <v>10</v>
      </c>
      <c r="E11" s="292">
        <v>38098</v>
      </c>
      <c r="F11" s="292">
        <v>39314</v>
      </c>
      <c r="G11" s="470">
        <v>900</v>
      </c>
      <c r="H11" s="471">
        <v>400</v>
      </c>
      <c r="I11" s="465">
        <v>0.9</v>
      </c>
      <c r="J11" s="295">
        <v>1</v>
      </c>
      <c r="K11" s="332">
        <v>0.6</v>
      </c>
      <c r="L11" s="466">
        <f t="shared" si="0"/>
        <v>0.54</v>
      </c>
      <c r="M11" s="453">
        <f t="shared" si="1"/>
        <v>216</v>
      </c>
      <c r="N11" s="467"/>
    </row>
    <row r="12" spans="1:18" s="473" customFormat="1" ht="24.95" customHeight="1">
      <c r="A12" s="297">
        <v>8</v>
      </c>
      <c r="B12" s="290" t="s">
        <v>188</v>
      </c>
      <c r="C12" s="290"/>
      <c r="D12" s="291" t="s">
        <v>10</v>
      </c>
      <c r="E12" s="292">
        <v>38098</v>
      </c>
      <c r="F12" s="292">
        <v>39314</v>
      </c>
      <c r="G12" s="470">
        <v>300</v>
      </c>
      <c r="H12" s="471">
        <v>100</v>
      </c>
      <c r="I12" s="465">
        <v>0.9</v>
      </c>
      <c r="J12" s="295">
        <v>1</v>
      </c>
      <c r="K12" s="332">
        <v>0.6</v>
      </c>
      <c r="L12" s="466">
        <f t="shared" si="0"/>
        <v>0.54</v>
      </c>
      <c r="M12" s="453">
        <f t="shared" si="1"/>
        <v>54</v>
      </c>
      <c r="N12" s="467"/>
    </row>
    <row r="13" spans="1:18" s="473" customFormat="1" ht="24.95" customHeight="1">
      <c r="A13" s="297">
        <v>9</v>
      </c>
      <c r="B13" s="290" t="s">
        <v>188</v>
      </c>
      <c r="C13" s="290"/>
      <c r="D13" s="291" t="s">
        <v>10</v>
      </c>
      <c r="E13" s="292">
        <v>38098</v>
      </c>
      <c r="F13" s="292">
        <v>39314</v>
      </c>
      <c r="G13" s="470">
        <v>1000</v>
      </c>
      <c r="H13" s="471">
        <v>500</v>
      </c>
      <c r="I13" s="465">
        <v>0.9</v>
      </c>
      <c r="J13" s="295">
        <v>1</v>
      </c>
      <c r="K13" s="332">
        <v>0.6</v>
      </c>
      <c r="L13" s="466">
        <f t="shared" si="0"/>
        <v>0.54</v>
      </c>
      <c r="M13" s="453">
        <f t="shared" si="1"/>
        <v>270</v>
      </c>
      <c r="N13" s="467"/>
    </row>
    <row r="14" spans="1:18" s="473" customFormat="1" ht="24.95" customHeight="1">
      <c r="A14" s="297">
        <v>10</v>
      </c>
      <c r="B14" s="290" t="s">
        <v>188</v>
      </c>
      <c r="C14" s="290"/>
      <c r="D14" s="291" t="s">
        <v>10</v>
      </c>
      <c r="E14" s="292">
        <v>38098</v>
      </c>
      <c r="F14" s="292">
        <v>39314</v>
      </c>
      <c r="G14" s="470">
        <v>1000</v>
      </c>
      <c r="H14" s="471">
        <v>500</v>
      </c>
      <c r="I14" s="465">
        <v>0.7</v>
      </c>
      <c r="J14" s="295">
        <v>1</v>
      </c>
      <c r="K14" s="332">
        <v>0.6</v>
      </c>
      <c r="L14" s="466">
        <f t="shared" si="0"/>
        <v>0.42</v>
      </c>
      <c r="M14" s="453">
        <f t="shared" si="1"/>
        <v>210</v>
      </c>
      <c r="N14" s="467"/>
    </row>
    <row r="15" spans="1:18" s="468" customFormat="1" ht="24.95" customHeight="1">
      <c r="A15" s="297">
        <v>11</v>
      </c>
      <c r="B15" s="290" t="s">
        <v>189</v>
      </c>
      <c r="C15" s="290"/>
      <c r="D15" s="291" t="s">
        <v>10</v>
      </c>
      <c r="E15" s="292">
        <v>38098</v>
      </c>
      <c r="F15" s="292">
        <v>39314</v>
      </c>
      <c r="G15" s="470">
        <v>340</v>
      </c>
      <c r="H15" s="471">
        <v>240</v>
      </c>
      <c r="I15" s="465">
        <v>0.7</v>
      </c>
      <c r="J15" s="295">
        <v>1</v>
      </c>
      <c r="K15" s="332">
        <v>0.6</v>
      </c>
      <c r="L15" s="466">
        <f t="shared" si="0"/>
        <v>0.42</v>
      </c>
      <c r="M15" s="453">
        <f t="shared" si="1"/>
        <v>100.8</v>
      </c>
      <c r="N15" s="467"/>
    </row>
    <row r="16" spans="1:18" s="473" customFormat="1" ht="24.95" customHeight="1">
      <c r="A16" s="297">
        <v>12</v>
      </c>
      <c r="B16" s="290" t="s">
        <v>190</v>
      </c>
      <c r="C16" s="290"/>
      <c r="D16" s="291" t="s">
        <v>10</v>
      </c>
      <c r="E16" s="292">
        <v>38098</v>
      </c>
      <c r="F16" s="292">
        <v>39314</v>
      </c>
      <c r="G16" s="470">
        <v>800</v>
      </c>
      <c r="H16" s="471">
        <v>400</v>
      </c>
      <c r="I16" s="465">
        <v>1</v>
      </c>
      <c r="J16" s="295">
        <v>1</v>
      </c>
      <c r="K16" s="332">
        <v>0.6</v>
      </c>
      <c r="L16" s="466">
        <f t="shared" si="0"/>
        <v>0.6</v>
      </c>
      <c r="M16" s="453">
        <f t="shared" si="1"/>
        <v>240</v>
      </c>
      <c r="N16" s="467"/>
    </row>
    <row r="17" spans="1:18" s="468" customFormat="1" ht="24.95" customHeight="1">
      <c r="A17" s="297">
        <v>13</v>
      </c>
      <c r="B17" s="290" t="s">
        <v>191</v>
      </c>
      <c r="C17" s="290"/>
      <c r="D17" s="291" t="s">
        <v>10</v>
      </c>
      <c r="E17" s="292">
        <v>38098</v>
      </c>
      <c r="F17" s="292">
        <v>39314</v>
      </c>
      <c r="G17" s="470">
        <v>500</v>
      </c>
      <c r="H17" s="471">
        <v>200</v>
      </c>
      <c r="I17" s="465">
        <v>0.8</v>
      </c>
      <c r="J17" s="295">
        <v>1</v>
      </c>
      <c r="K17" s="332">
        <v>0.6</v>
      </c>
      <c r="L17" s="466">
        <f t="shared" si="0"/>
        <v>0.48</v>
      </c>
      <c r="M17" s="453">
        <f t="shared" si="1"/>
        <v>96</v>
      </c>
      <c r="N17" s="467"/>
    </row>
    <row r="18" spans="1:18" s="468" customFormat="1" ht="24.95" customHeight="1">
      <c r="A18" s="297">
        <v>14</v>
      </c>
      <c r="B18" s="290" t="s">
        <v>188</v>
      </c>
      <c r="C18" s="290"/>
      <c r="D18" s="291" t="s">
        <v>10</v>
      </c>
      <c r="E18" s="292">
        <v>38098</v>
      </c>
      <c r="F18" s="292">
        <v>39314</v>
      </c>
      <c r="G18" s="470">
        <v>400</v>
      </c>
      <c r="H18" s="471">
        <v>150</v>
      </c>
      <c r="I18" s="465">
        <v>0.7</v>
      </c>
      <c r="J18" s="295">
        <v>1</v>
      </c>
      <c r="K18" s="332">
        <v>0.6</v>
      </c>
      <c r="L18" s="466">
        <f t="shared" si="0"/>
        <v>0.42</v>
      </c>
      <c r="M18" s="453">
        <f t="shared" si="1"/>
        <v>63</v>
      </c>
      <c r="N18" s="467"/>
    </row>
    <row r="19" spans="1:18" s="468" customFormat="1" ht="24.95" customHeight="1" thickBot="1">
      <c r="A19" s="474">
        <v>15</v>
      </c>
      <c r="B19" s="475" t="s">
        <v>190</v>
      </c>
      <c r="C19" s="475"/>
      <c r="D19" s="291" t="s">
        <v>10</v>
      </c>
      <c r="E19" s="292">
        <v>38098</v>
      </c>
      <c r="F19" s="292">
        <v>39314</v>
      </c>
      <c r="G19" s="476">
        <v>580</v>
      </c>
      <c r="H19" s="477">
        <v>300</v>
      </c>
      <c r="I19" s="478">
        <v>0.9</v>
      </c>
      <c r="J19" s="295">
        <v>1</v>
      </c>
      <c r="K19" s="332">
        <v>0.6</v>
      </c>
      <c r="L19" s="479">
        <f t="shared" si="0"/>
        <v>0.54</v>
      </c>
      <c r="M19" s="480">
        <f t="shared" si="1"/>
        <v>162</v>
      </c>
      <c r="N19" s="481"/>
    </row>
    <row r="20" spans="1:18" s="468" customFormat="1" ht="24.95" customHeight="1">
      <c r="A20" s="1107" t="s">
        <v>181</v>
      </c>
      <c r="B20" s="1108"/>
      <c r="C20" s="1108"/>
      <c r="D20" s="1108"/>
      <c r="E20" s="1108"/>
      <c r="F20" s="1108"/>
      <c r="G20" s="1108"/>
      <c r="H20" s="1108"/>
      <c r="I20" s="1108"/>
      <c r="J20" s="1108"/>
      <c r="K20" s="1101"/>
      <c r="L20" s="482">
        <f>ROUND(SUM(L5:L19),2)</f>
        <v>7.32</v>
      </c>
      <c r="M20" s="483">
        <f>ROUND(SUM(M5:M19),0)</f>
        <v>2108</v>
      </c>
      <c r="N20" s="484"/>
    </row>
    <row r="21" spans="1:18" s="468" customFormat="1" ht="24.95" customHeight="1" thickBot="1">
      <c r="A21" s="1109" t="s">
        <v>182</v>
      </c>
      <c r="B21" s="1110"/>
      <c r="C21" s="1110"/>
      <c r="D21" s="1110"/>
      <c r="E21" s="1110"/>
      <c r="F21" s="1110"/>
      <c r="G21" s="1110"/>
      <c r="H21" s="1110"/>
      <c r="I21" s="1110"/>
      <c r="J21" s="1110"/>
      <c r="K21" s="1111"/>
      <c r="L21" s="485"/>
      <c r="M21" s="486">
        <f>ROUND(M20/(배점기준!$H$4/1000),2)</f>
        <v>4.22</v>
      </c>
      <c r="N21" s="487"/>
    </row>
    <row r="22" spans="1:18" s="468" customFormat="1" ht="24.95" customHeight="1">
      <c r="A22" s="328"/>
      <c r="B22" s="328"/>
      <c r="C22" s="328"/>
      <c r="D22" s="328"/>
      <c r="E22" s="328"/>
      <c r="F22" s="328"/>
      <c r="G22" s="328"/>
      <c r="H22" s="328"/>
      <c r="I22" s="328"/>
      <c r="J22" s="328"/>
      <c r="K22" s="328"/>
      <c r="L22" s="488"/>
      <c r="M22" s="489"/>
      <c r="N22" s="472"/>
    </row>
    <row r="23" spans="1:18" s="458" customFormat="1" ht="30" customHeight="1" thickBot="1">
      <c r="A23" s="459"/>
      <c r="B23" s="459" t="str">
        <f>참여업체!D6</f>
        <v>ㅇㅇ엔지니어링㈜</v>
      </c>
      <c r="C23" s="454"/>
      <c r="D23" s="455"/>
      <c r="E23" s="455"/>
      <c r="F23" s="455"/>
      <c r="G23" s="456"/>
      <c r="H23" s="457"/>
      <c r="I23" s="457"/>
      <c r="J23" s="457"/>
      <c r="K23" s="457"/>
      <c r="L23" s="457"/>
    </row>
    <row r="24" spans="1:18" s="460" customFormat="1" ht="24" customHeight="1">
      <c r="A24" s="987" t="s">
        <v>6</v>
      </c>
      <c r="B24" s="989" t="s">
        <v>7</v>
      </c>
      <c r="C24" s="980" t="s">
        <v>8</v>
      </c>
      <c r="D24" s="980" t="s">
        <v>24</v>
      </c>
      <c r="E24" s="1100" t="s">
        <v>25</v>
      </c>
      <c r="F24" s="1101"/>
      <c r="G24" s="1102" t="s">
        <v>398</v>
      </c>
      <c r="H24" s="1112" t="s">
        <v>399</v>
      </c>
      <c r="I24" s="1104" t="s">
        <v>400</v>
      </c>
      <c r="J24" s="1000" t="s">
        <v>214</v>
      </c>
      <c r="K24" s="1001"/>
      <c r="L24" s="978" t="s">
        <v>184</v>
      </c>
      <c r="M24" s="978" t="s">
        <v>401</v>
      </c>
      <c r="N24" s="1098" t="s">
        <v>9</v>
      </c>
    </row>
    <row r="25" spans="1:18" s="460" customFormat="1" ht="27.75" customHeight="1">
      <c r="A25" s="988"/>
      <c r="B25" s="990"/>
      <c r="C25" s="981"/>
      <c r="D25" s="981"/>
      <c r="E25" s="287" t="s">
        <v>387</v>
      </c>
      <c r="F25" s="287" t="s">
        <v>388</v>
      </c>
      <c r="G25" s="1103"/>
      <c r="H25" s="1113"/>
      <c r="I25" s="1105"/>
      <c r="J25" s="143" t="s">
        <v>215</v>
      </c>
      <c r="K25" s="144" t="s">
        <v>216</v>
      </c>
      <c r="L25" s="979"/>
      <c r="M25" s="979"/>
      <c r="N25" s="1099"/>
      <c r="R25" s="461" t="s">
        <v>251</v>
      </c>
    </row>
    <row r="26" spans="1:18" s="468" customFormat="1" ht="24.95" customHeight="1">
      <c r="A26" s="297">
        <v>1</v>
      </c>
      <c r="B26" s="290" t="s">
        <v>171</v>
      </c>
      <c r="C26" s="462"/>
      <c r="D26" s="291" t="s">
        <v>10</v>
      </c>
      <c r="E26" s="292">
        <v>38307</v>
      </c>
      <c r="F26" s="292">
        <v>39249</v>
      </c>
      <c r="G26" s="463">
        <v>500</v>
      </c>
      <c r="H26" s="464">
        <v>200</v>
      </c>
      <c r="I26" s="465">
        <v>0.8</v>
      </c>
      <c r="J26" s="295">
        <v>1</v>
      </c>
      <c r="K26" s="332">
        <v>0.6</v>
      </c>
      <c r="L26" s="466">
        <f>I26*J26*K26</f>
        <v>0.48</v>
      </c>
      <c r="M26" s="453">
        <f>H26*I26*J26*K26</f>
        <v>96</v>
      </c>
      <c r="N26" s="467"/>
      <c r="R26" s="469">
        <v>1</v>
      </c>
    </row>
    <row r="27" spans="1:18" s="468" customFormat="1" ht="24.95" customHeight="1">
      <c r="A27" s="297">
        <v>2</v>
      </c>
      <c r="B27" s="290" t="s">
        <v>19</v>
      </c>
      <c r="C27" s="290"/>
      <c r="D27" s="291" t="s">
        <v>10</v>
      </c>
      <c r="E27" s="292">
        <v>38098</v>
      </c>
      <c r="F27" s="292">
        <v>39314</v>
      </c>
      <c r="G27" s="470">
        <v>600</v>
      </c>
      <c r="H27" s="471">
        <v>300</v>
      </c>
      <c r="I27" s="465">
        <v>0.7</v>
      </c>
      <c r="J27" s="295">
        <v>1</v>
      </c>
      <c r="K27" s="332">
        <v>0.6</v>
      </c>
      <c r="L27" s="466">
        <f t="shared" ref="L27:L40" si="2">I27*J27*K27</f>
        <v>0.42</v>
      </c>
      <c r="M27" s="453">
        <f t="shared" ref="M27:M40" si="3">H27*I27*J27*K27</f>
        <v>126</v>
      </c>
      <c r="N27" s="467"/>
      <c r="R27" s="469">
        <v>0.6</v>
      </c>
    </row>
    <row r="28" spans="1:18" s="468" customFormat="1" ht="24.95" customHeight="1">
      <c r="A28" s="297">
        <v>3</v>
      </c>
      <c r="B28" s="290" t="s">
        <v>20</v>
      </c>
      <c r="C28" s="290"/>
      <c r="D28" s="291" t="s">
        <v>10</v>
      </c>
      <c r="E28" s="292">
        <v>38784</v>
      </c>
      <c r="F28" s="292">
        <v>39301</v>
      </c>
      <c r="G28" s="470">
        <v>500</v>
      </c>
      <c r="H28" s="471">
        <v>200</v>
      </c>
      <c r="I28" s="465">
        <v>0.7</v>
      </c>
      <c r="J28" s="295">
        <v>1</v>
      </c>
      <c r="K28" s="332">
        <v>0.6</v>
      </c>
      <c r="L28" s="466">
        <f t="shared" si="2"/>
        <v>0.42</v>
      </c>
      <c r="M28" s="453">
        <f t="shared" si="3"/>
        <v>84</v>
      </c>
      <c r="N28" s="467"/>
      <c r="R28" s="472"/>
    </row>
    <row r="29" spans="1:18" s="473" customFormat="1" ht="24.95" customHeight="1">
      <c r="A29" s="297">
        <v>4</v>
      </c>
      <c r="B29" s="290" t="s">
        <v>21</v>
      </c>
      <c r="C29" s="290"/>
      <c r="D29" s="291" t="s">
        <v>10</v>
      </c>
      <c r="E29" s="292">
        <v>38828</v>
      </c>
      <c r="F29" s="292">
        <v>39314</v>
      </c>
      <c r="G29" s="470">
        <v>1000</v>
      </c>
      <c r="H29" s="471">
        <v>500</v>
      </c>
      <c r="I29" s="465">
        <v>1</v>
      </c>
      <c r="J29" s="295">
        <v>1</v>
      </c>
      <c r="K29" s="332">
        <v>0.6</v>
      </c>
      <c r="L29" s="466">
        <f t="shared" si="2"/>
        <v>0.6</v>
      </c>
      <c r="M29" s="453">
        <f t="shared" si="3"/>
        <v>300</v>
      </c>
      <c r="N29" s="467"/>
    </row>
    <row r="30" spans="1:18" s="473" customFormat="1" ht="24.95" customHeight="1">
      <c r="A30" s="297">
        <v>5</v>
      </c>
      <c r="B30" s="290" t="s">
        <v>188</v>
      </c>
      <c r="C30" s="290"/>
      <c r="D30" s="291" t="s">
        <v>10</v>
      </c>
      <c r="E30" s="292">
        <v>38098</v>
      </c>
      <c r="F30" s="292">
        <v>39314</v>
      </c>
      <c r="G30" s="470">
        <v>300</v>
      </c>
      <c r="H30" s="471">
        <v>100</v>
      </c>
      <c r="I30" s="465">
        <v>0.8</v>
      </c>
      <c r="J30" s="295">
        <v>1</v>
      </c>
      <c r="K30" s="332">
        <v>0.6</v>
      </c>
      <c r="L30" s="466">
        <f t="shared" si="2"/>
        <v>0.48</v>
      </c>
      <c r="M30" s="453">
        <f t="shared" si="3"/>
        <v>48</v>
      </c>
      <c r="N30" s="467"/>
    </row>
    <row r="31" spans="1:18" s="473" customFormat="1" ht="24.95" customHeight="1">
      <c r="A31" s="297">
        <v>6</v>
      </c>
      <c r="B31" s="290" t="s">
        <v>188</v>
      </c>
      <c r="C31" s="290"/>
      <c r="D31" s="291" t="s">
        <v>10</v>
      </c>
      <c r="E31" s="292">
        <v>38098</v>
      </c>
      <c r="F31" s="292">
        <v>39314</v>
      </c>
      <c r="G31" s="470">
        <v>300</v>
      </c>
      <c r="H31" s="471">
        <v>100</v>
      </c>
      <c r="I31" s="465">
        <v>0.7</v>
      </c>
      <c r="J31" s="295">
        <v>1</v>
      </c>
      <c r="K31" s="332">
        <v>0.6</v>
      </c>
      <c r="L31" s="466">
        <f t="shared" si="2"/>
        <v>0.42</v>
      </c>
      <c r="M31" s="453">
        <f t="shared" si="3"/>
        <v>42</v>
      </c>
      <c r="N31" s="467"/>
    </row>
    <row r="32" spans="1:18" s="468" customFormat="1" ht="24.95" customHeight="1">
      <c r="A32" s="297">
        <v>7</v>
      </c>
      <c r="B32" s="290" t="s">
        <v>188</v>
      </c>
      <c r="C32" s="290"/>
      <c r="D32" s="291" t="s">
        <v>10</v>
      </c>
      <c r="E32" s="292">
        <v>38098</v>
      </c>
      <c r="F32" s="292">
        <v>39314</v>
      </c>
      <c r="G32" s="470">
        <v>900</v>
      </c>
      <c r="H32" s="471">
        <v>400</v>
      </c>
      <c r="I32" s="465">
        <v>0.9</v>
      </c>
      <c r="J32" s="295">
        <v>1</v>
      </c>
      <c r="K32" s="332">
        <v>0.6</v>
      </c>
      <c r="L32" s="466">
        <f t="shared" si="2"/>
        <v>0.54</v>
      </c>
      <c r="M32" s="453">
        <f t="shared" si="3"/>
        <v>216</v>
      </c>
      <c r="N32" s="467"/>
    </row>
    <row r="33" spans="1:18" s="473" customFormat="1" ht="24.95" customHeight="1">
      <c r="A33" s="297">
        <v>8</v>
      </c>
      <c r="B33" s="290" t="s">
        <v>188</v>
      </c>
      <c r="C33" s="290"/>
      <c r="D33" s="291" t="s">
        <v>10</v>
      </c>
      <c r="E33" s="292">
        <v>38098</v>
      </c>
      <c r="F33" s="292">
        <v>39314</v>
      </c>
      <c r="G33" s="470">
        <v>300</v>
      </c>
      <c r="H33" s="471">
        <v>100</v>
      </c>
      <c r="I33" s="465">
        <v>0.9</v>
      </c>
      <c r="J33" s="295">
        <v>1</v>
      </c>
      <c r="K33" s="332">
        <v>0.6</v>
      </c>
      <c r="L33" s="466">
        <f t="shared" si="2"/>
        <v>0.54</v>
      </c>
      <c r="M33" s="453">
        <f t="shared" si="3"/>
        <v>54</v>
      </c>
      <c r="N33" s="467"/>
    </row>
    <row r="34" spans="1:18" s="473" customFormat="1" ht="24.95" customHeight="1">
      <c r="A34" s="297">
        <v>9</v>
      </c>
      <c r="B34" s="290" t="s">
        <v>188</v>
      </c>
      <c r="C34" s="290"/>
      <c r="D34" s="291" t="s">
        <v>10</v>
      </c>
      <c r="E34" s="292">
        <v>38098</v>
      </c>
      <c r="F34" s="292">
        <v>39314</v>
      </c>
      <c r="G34" s="470">
        <v>1000</v>
      </c>
      <c r="H34" s="471">
        <v>500</v>
      </c>
      <c r="I34" s="465">
        <v>0.9</v>
      </c>
      <c r="J34" s="295">
        <v>1</v>
      </c>
      <c r="K34" s="332">
        <v>0.6</v>
      </c>
      <c r="L34" s="466">
        <f t="shared" si="2"/>
        <v>0.54</v>
      </c>
      <c r="M34" s="453">
        <f t="shared" si="3"/>
        <v>270</v>
      </c>
      <c r="N34" s="467"/>
    </row>
    <row r="35" spans="1:18" s="473" customFormat="1" ht="24.95" customHeight="1">
      <c r="A35" s="297">
        <v>10</v>
      </c>
      <c r="B35" s="290" t="s">
        <v>188</v>
      </c>
      <c r="C35" s="290"/>
      <c r="D35" s="291" t="s">
        <v>10</v>
      </c>
      <c r="E35" s="292">
        <v>38098</v>
      </c>
      <c r="F35" s="292">
        <v>39314</v>
      </c>
      <c r="G35" s="470">
        <v>1000</v>
      </c>
      <c r="H35" s="471">
        <v>500</v>
      </c>
      <c r="I35" s="465">
        <v>0.7</v>
      </c>
      <c r="J35" s="295">
        <v>1</v>
      </c>
      <c r="K35" s="332">
        <v>0.6</v>
      </c>
      <c r="L35" s="466">
        <f t="shared" si="2"/>
        <v>0.42</v>
      </c>
      <c r="M35" s="453">
        <f t="shared" si="3"/>
        <v>210</v>
      </c>
      <c r="N35" s="467"/>
    </row>
    <row r="36" spans="1:18" s="468" customFormat="1" ht="24.95" customHeight="1">
      <c r="A36" s="297">
        <v>11</v>
      </c>
      <c r="B36" s="290" t="s">
        <v>189</v>
      </c>
      <c r="C36" s="290"/>
      <c r="D36" s="291" t="s">
        <v>10</v>
      </c>
      <c r="E36" s="292">
        <v>38098</v>
      </c>
      <c r="F36" s="292">
        <v>39314</v>
      </c>
      <c r="G36" s="470">
        <v>340</v>
      </c>
      <c r="H36" s="471">
        <v>240</v>
      </c>
      <c r="I36" s="465">
        <v>0.7</v>
      </c>
      <c r="J36" s="295">
        <v>1</v>
      </c>
      <c r="K36" s="332">
        <v>0.6</v>
      </c>
      <c r="L36" s="466">
        <f t="shared" si="2"/>
        <v>0.42</v>
      </c>
      <c r="M36" s="453">
        <f t="shared" si="3"/>
        <v>100.8</v>
      </c>
      <c r="N36" s="467"/>
    </row>
    <row r="37" spans="1:18" s="473" customFormat="1" ht="24.95" customHeight="1">
      <c r="A37" s="297">
        <v>12</v>
      </c>
      <c r="B37" s="290" t="s">
        <v>190</v>
      </c>
      <c r="C37" s="290"/>
      <c r="D37" s="291" t="s">
        <v>10</v>
      </c>
      <c r="E37" s="292">
        <v>38098</v>
      </c>
      <c r="F37" s="292">
        <v>39314</v>
      </c>
      <c r="G37" s="470">
        <v>800</v>
      </c>
      <c r="H37" s="471">
        <v>400</v>
      </c>
      <c r="I37" s="465">
        <v>1</v>
      </c>
      <c r="J37" s="295">
        <v>1</v>
      </c>
      <c r="K37" s="332">
        <v>0.6</v>
      </c>
      <c r="L37" s="466">
        <f t="shared" si="2"/>
        <v>0.6</v>
      </c>
      <c r="M37" s="453">
        <f t="shared" si="3"/>
        <v>240</v>
      </c>
      <c r="N37" s="467"/>
    </row>
    <row r="38" spans="1:18" s="468" customFormat="1" ht="24.95" customHeight="1">
      <c r="A38" s="297">
        <v>13</v>
      </c>
      <c r="B38" s="290" t="s">
        <v>191</v>
      </c>
      <c r="C38" s="290"/>
      <c r="D38" s="291" t="s">
        <v>10</v>
      </c>
      <c r="E38" s="292">
        <v>38098</v>
      </c>
      <c r="F38" s="292">
        <v>39314</v>
      </c>
      <c r="G38" s="470">
        <v>500</v>
      </c>
      <c r="H38" s="471">
        <v>200</v>
      </c>
      <c r="I38" s="465">
        <v>0.8</v>
      </c>
      <c r="J38" s="295">
        <v>1</v>
      </c>
      <c r="K38" s="332">
        <v>0.6</v>
      </c>
      <c r="L38" s="466">
        <f t="shared" si="2"/>
        <v>0.48</v>
      </c>
      <c r="M38" s="453">
        <f t="shared" si="3"/>
        <v>96</v>
      </c>
      <c r="N38" s="467"/>
    </row>
    <row r="39" spans="1:18" s="468" customFormat="1" ht="24.95" customHeight="1">
      <c r="A39" s="297">
        <v>14</v>
      </c>
      <c r="B39" s="290" t="s">
        <v>188</v>
      </c>
      <c r="C39" s="290"/>
      <c r="D39" s="291" t="s">
        <v>10</v>
      </c>
      <c r="E39" s="292">
        <v>38098</v>
      </c>
      <c r="F39" s="292">
        <v>39314</v>
      </c>
      <c r="G39" s="470">
        <v>400</v>
      </c>
      <c r="H39" s="471">
        <v>150</v>
      </c>
      <c r="I39" s="465">
        <v>0.7</v>
      </c>
      <c r="J39" s="295">
        <v>1</v>
      </c>
      <c r="K39" s="332">
        <v>0.6</v>
      </c>
      <c r="L39" s="466">
        <f t="shared" si="2"/>
        <v>0.42</v>
      </c>
      <c r="M39" s="453">
        <f t="shared" si="3"/>
        <v>63</v>
      </c>
      <c r="N39" s="467"/>
    </row>
    <row r="40" spans="1:18" s="468" customFormat="1" ht="24.95" customHeight="1" thickBot="1">
      <c r="A40" s="474">
        <v>15</v>
      </c>
      <c r="B40" s="475" t="s">
        <v>190</v>
      </c>
      <c r="C40" s="475"/>
      <c r="D40" s="291" t="s">
        <v>10</v>
      </c>
      <c r="E40" s="292">
        <v>38098</v>
      </c>
      <c r="F40" s="292">
        <v>39314</v>
      </c>
      <c r="G40" s="476">
        <v>580</v>
      </c>
      <c r="H40" s="477">
        <v>300</v>
      </c>
      <c r="I40" s="478">
        <v>0.9</v>
      </c>
      <c r="J40" s="295">
        <v>1</v>
      </c>
      <c r="K40" s="332">
        <v>0.6</v>
      </c>
      <c r="L40" s="479">
        <f t="shared" si="2"/>
        <v>0.54</v>
      </c>
      <c r="M40" s="480">
        <f t="shared" si="3"/>
        <v>162</v>
      </c>
      <c r="N40" s="481"/>
    </row>
    <row r="41" spans="1:18" s="468" customFormat="1" ht="24.95" customHeight="1">
      <c r="A41" s="1107" t="s">
        <v>181</v>
      </c>
      <c r="B41" s="1108"/>
      <c r="C41" s="1108"/>
      <c r="D41" s="1108"/>
      <c r="E41" s="1108"/>
      <c r="F41" s="1108"/>
      <c r="G41" s="1108"/>
      <c r="H41" s="1108"/>
      <c r="I41" s="1108"/>
      <c r="J41" s="1108"/>
      <c r="K41" s="1101"/>
      <c r="L41" s="482">
        <f>ROUND(SUM(L26:L40),2)</f>
        <v>7.32</v>
      </c>
      <c r="M41" s="483">
        <f>ROUND(SUM(M26:M40),0)</f>
        <v>2108</v>
      </c>
      <c r="N41" s="484"/>
    </row>
    <row r="42" spans="1:18" s="468" customFormat="1" ht="24.95" customHeight="1" thickBot="1">
      <c r="A42" s="1109" t="s">
        <v>182</v>
      </c>
      <c r="B42" s="1110"/>
      <c r="C42" s="1110"/>
      <c r="D42" s="1110"/>
      <c r="E42" s="1110"/>
      <c r="F42" s="1110"/>
      <c r="G42" s="1110"/>
      <c r="H42" s="1110"/>
      <c r="I42" s="1110"/>
      <c r="J42" s="1110"/>
      <c r="K42" s="1111"/>
      <c r="L42" s="485"/>
      <c r="M42" s="486">
        <f>ROUND(M41/(배점기준!$H$4/1000),2)</f>
        <v>4.22</v>
      </c>
      <c r="N42" s="487"/>
    </row>
    <row r="43" spans="1:18" s="468" customFormat="1" ht="24.95" customHeight="1">
      <c r="A43" s="328"/>
      <c r="B43" s="328"/>
      <c r="C43" s="328"/>
      <c r="D43" s="328"/>
      <c r="E43" s="328"/>
      <c r="F43" s="328"/>
      <c r="G43" s="328"/>
      <c r="H43" s="328"/>
      <c r="I43" s="328"/>
      <c r="J43" s="328"/>
      <c r="K43" s="328"/>
      <c r="L43" s="488"/>
      <c r="M43" s="489"/>
      <c r="N43" s="472"/>
    </row>
    <row r="44" spans="1:18" s="458" customFormat="1" ht="30" customHeight="1" thickBot="1">
      <c r="A44" s="459"/>
      <c r="B44" s="459" t="str">
        <f>참여업체!E6</f>
        <v>◇◇기술공사㈜</v>
      </c>
      <c r="C44" s="454"/>
      <c r="D44" s="455"/>
      <c r="E44" s="455"/>
      <c r="F44" s="455"/>
      <c r="G44" s="456"/>
      <c r="H44" s="457"/>
      <c r="I44" s="457"/>
      <c r="J44" s="457"/>
      <c r="K44" s="457"/>
      <c r="L44" s="457"/>
    </row>
    <row r="45" spans="1:18" s="460" customFormat="1" ht="24" customHeight="1">
      <c r="A45" s="987" t="s">
        <v>6</v>
      </c>
      <c r="B45" s="989" t="s">
        <v>7</v>
      </c>
      <c r="C45" s="980" t="s">
        <v>8</v>
      </c>
      <c r="D45" s="980" t="s">
        <v>24</v>
      </c>
      <c r="E45" s="1100" t="s">
        <v>25</v>
      </c>
      <c r="F45" s="1101"/>
      <c r="G45" s="1102" t="s">
        <v>398</v>
      </c>
      <c r="H45" s="1112" t="s">
        <v>399</v>
      </c>
      <c r="I45" s="1104" t="s">
        <v>400</v>
      </c>
      <c r="J45" s="1000" t="s">
        <v>214</v>
      </c>
      <c r="K45" s="1001"/>
      <c r="L45" s="978" t="s">
        <v>184</v>
      </c>
      <c r="M45" s="978" t="s">
        <v>401</v>
      </c>
      <c r="N45" s="1098" t="s">
        <v>9</v>
      </c>
    </row>
    <row r="46" spans="1:18" s="460" customFormat="1" ht="27.75" customHeight="1">
      <c r="A46" s="988"/>
      <c r="B46" s="990"/>
      <c r="C46" s="981"/>
      <c r="D46" s="981"/>
      <c r="E46" s="287" t="s">
        <v>387</v>
      </c>
      <c r="F46" s="287" t="s">
        <v>388</v>
      </c>
      <c r="G46" s="1103"/>
      <c r="H46" s="1113"/>
      <c r="I46" s="1105"/>
      <c r="J46" s="143" t="s">
        <v>215</v>
      </c>
      <c r="K46" s="144" t="s">
        <v>216</v>
      </c>
      <c r="L46" s="979"/>
      <c r="M46" s="979"/>
      <c r="N46" s="1099"/>
      <c r="R46" s="461" t="s">
        <v>251</v>
      </c>
    </row>
    <row r="47" spans="1:18" s="468" customFormat="1" ht="24.95" customHeight="1">
      <c r="A47" s="297">
        <v>1</v>
      </c>
      <c r="B47" s="290" t="s">
        <v>171</v>
      </c>
      <c r="C47" s="462"/>
      <c r="D47" s="291" t="s">
        <v>10</v>
      </c>
      <c r="E47" s="292">
        <v>38307</v>
      </c>
      <c r="F47" s="292">
        <v>39249</v>
      </c>
      <c r="G47" s="463">
        <v>500</v>
      </c>
      <c r="H47" s="464">
        <v>200</v>
      </c>
      <c r="I47" s="465">
        <v>0.8</v>
      </c>
      <c r="J47" s="295">
        <v>1</v>
      </c>
      <c r="K47" s="332">
        <v>0.6</v>
      </c>
      <c r="L47" s="466">
        <f>I47*J47*K47</f>
        <v>0.48</v>
      </c>
      <c r="M47" s="453">
        <f>H47*I47*J47*K47</f>
        <v>96</v>
      </c>
      <c r="N47" s="467"/>
      <c r="R47" s="469">
        <v>1</v>
      </c>
    </row>
    <row r="48" spans="1:18" s="468" customFormat="1" ht="24.95" customHeight="1">
      <c r="A48" s="297">
        <v>2</v>
      </c>
      <c r="B48" s="290" t="s">
        <v>19</v>
      </c>
      <c r="C48" s="290"/>
      <c r="D48" s="291" t="s">
        <v>10</v>
      </c>
      <c r="E48" s="292">
        <v>38098</v>
      </c>
      <c r="F48" s="292">
        <v>39314</v>
      </c>
      <c r="G48" s="470">
        <v>600</v>
      </c>
      <c r="H48" s="471">
        <v>300</v>
      </c>
      <c r="I48" s="465">
        <v>0.7</v>
      </c>
      <c r="J48" s="295">
        <v>1</v>
      </c>
      <c r="K48" s="332">
        <v>0.6</v>
      </c>
      <c r="L48" s="466">
        <f t="shared" ref="L48:L61" si="4">I48*J48*K48</f>
        <v>0.42</v>
      </c>
      <c r="M48" s="453">
        <f t="shared" ref="M48:M61" si="5">H48*I48*J48*K48</f>
        <v>126</v>
      </c>
      <c r="N48" s="467"/>
      <c r="R48" s="469">
        <v>0.6</v>
      </c>
    </row>
    <row r="49" spans="1:18" s="468" customFormat="1" ht="24.95" customHeight="1">
      <c r="A49" s="297">
        <v>3</v>
      </c>
      <c r="B49" s="290" t="s">
        <v>20</v>
      </c>
      <c r="C49" s="290"/>
      <c r="D49" s="291" t="s">
        <v>10</v>
      </c>
      <c r="E49" s="292">
        <v>38784</v>
      </c>
      <c r="F49" s="292">
        <v>39301</v>
      </c>
      <c r="G49" s="470">
        <v>500</v>
      </c>
      <c r="H49" s="471">
        <v>200</v>
      </c>
      <c r="I49" s="465">
        <v>0.7</v>
      </c>
      <c r="J49" s="295">
        <v>1</v>
      </c>
      <c r="K49" s="332">
        <v>0.6</v>
      </c>
      <c r="L49" s="466">
        <f t="shared" si="4"/>
        <v>0.42</v>
      </c>
      <c r="M49" s="453">
        <f t="shared" si="5"/>
        <v>84</v>
      </c>
      <c r="N49" s="467"/>
      <c r="R49" s="472"/>
    </row>
    <row r="50" spans="1:18" s="473" customFormat="1" ht="24.95" customHeight="1">
      <c r="A50" s="297">
        <v>4</v>
      </c>
      <c r="B50" s="290" t="s">
        <v>21</v>
      </c>
      <c r="C50" s="290"/>
      <c r="D50" s="291" t="s">
        <v>10</v>
      </c>
      <c r="E50" s="292">
        <v>38828</v>
      </c>
      <c r="F50" s="292">
        <v>39314</v>
      </c>
      <c r="G50" s="470">
        <v>1000</v>
      </c>
      <c r="H50" s="471">
        <v>500</v>
      </c>
      <c r="I50" s="465">
        <v>1</v>
      </c>
      <c r="J50" s="295">
        <v>1</v>
      </c>
      <c r="K50" s="332">
        <v>0.6</v>
      </c>
      <c r="L50" s="466">
        <f t="shared" si="4"/>
        <v>0.6</v>
      </c>
      <c r="M50" s="453">
        <f t="shared" si="5"/>
        <v>300</v>
      </c>
      <c r="N50" s="467"/>
    </row>
    <row r="51" spans="1:18" s="473" customFormat="1" ht="24.95" customHeight="1">
      <c r="A51" s="297">
        <v>5</v>
      </c>
      <c r="B51" s="290" t="s">
        <v>188</v>
      </c>
      <c r="C51" s="290"/>
      <c r="D51" s="291" t="s">
        <v>10</v>
      </c>
      <c r="E51" s="292">
        <v>38098</v>
      </c>
      <c r="F51" s="292">
        <v>39314</v>
      </c>
      <c r="G51" s="470">
        <v>300</v>
      </c>
      <c r="H51" s="471">
        <v>100</v>
      </c>
      <c r="I51" s="465">
        <v>0.8</v>
      </c>
      <c r="J51" s="295">
        <v>1</v>
      </c>
      <c r="K51" s="332">
        <v>0.6</v>
      </c>
      <c r="L51" s="466">
        <f t="shared" si="4"/>
        <v>0.48</v>
      </c>
      <c r="M51" s="453">
        <f t="shared" si="5"/>
        <v>48</v>
      </c>
      <c r="N51" s="467"/>
    </row>
    <row r="52" spans="1:18" s="473" customFormat="1" ht="24.95" customHeight="1">
      <c r="A52" s="297">
        <v>6</v>
      </c>
      <c r="B52" s="290" t="s">
        <v>188</v>
      </c>
      <c r="C52" s="290"/>
      <c r="D52" s="291" t="s">
        <v>10</v>
      </c>
      <c r="E52" s="292">
        <v>38098</v>
      </c>
      <c r="F52" s="292">
        <v>39314</v>
      </c>
      <c r="G52" s="470">
        <v>300</v>
      </c>
      <c r="H52" s="471">
        <v>100</v>
      </c>
      <c r="I52" s="465">
        <v>0.7</v>
      </c>
      <c r="J52" s="295">
        <v>1</v>
      </c>
      <c r="K52" s="332">
        <v>0.6</v>
      </c>
      <c r="L52" s="466">
        <f t="shared" si="4"/>
        <v>0.42</v>
      </c>
      <c r="M52" s="453">
        <f t="shared" si="5"/>
        <v>42</v>
      </c>
      <c r="N52" s="467"/>
    </row>
    <row r="53" spans="1:18" s="468" customFormat="1" ht="24.95" customHeight="1">
      <c r="A53" s="297">
        <v>7</v>
      </c>
      <c r="B53" s="290" t="s">
        <v>188</v>
      </c>
      <c r="C53" s="290"/>
      <c r="D53" s="291" t="s">
        <v>10</v>
      </c>
      <c r="E53" s="292">
        <v>38098</v>
      </c>
      <c r="F53" s="292">
        <v>39314</v>
      </c>
      <c r="G53" s="470">
        <v>900</v>
      </c>
      <c r="H53" s="471">
        <v>400</v>
      </c>
      <c r="I53" s="465">
        <v>0.9</v>
      </c>
      <c r="J53" s="295">
        <v>1</v>
      </c>
      <c r="K53" s="332">
        <v>0.6</v>
      </c>
      <c r="L53" s="466">
        <f t="shared" si="4"/>
        <v>0.54</v>
      </c>
      <c r="M53" s="453">
        <f t="shared" si="5"/>
        <v>216</v>
      </c>
      <c r="N53" s="467"/>
    </row>
    <row r="54" spans="1:18" s="473" customFormat="1" ht="24.95" customHeight="1">
      <c r="A54" s="297">
        <v>8</v>
      </c>
      <c r="B54" s="290" t="s">
        <v>188</v>
      </c>
      <c r="C54" s="290"/>
      <c r="D54" s="291" t="s">
        <v>10</v>
      </c>
      <c r="E54" s="292">
        <v>38098</v>
      </c>
      <c r="F54" s="292">
        <v>39314</v>
      </c>
      <c r="G54" s="470">
        <v>300</v>
      </c>
      <c r="H54" s="471">
        <v>100</v>
      </c>
      <c r="I54" s="465">
        <v>0.9</v>
      </c>
      <c r="J54" s="295">
        <v>1</v>
      </c>
      <c r="K54" s="332">
        <v>0.6</v>
      </c>
      <c r="L54" s="466">
        <f t="shared" si="4"/>
        <v>0.54</v>
      </c>
      <c r="M54" s="453">
        <f t="shared" si="5"/>
        <v>54</v>
      </c>
      <c r="N54" s="467"/>
    </row>
    <row r="55" spans="1:18" s="473" customFormat="1" ht="24.95" customHeight="1">
      <c r="A55" s="297">
        <v>9</v>
      </c>
      <c r="B55" s="290" t="s">
        <v>188</v>
      </c>
      <c r="C55" s="290"/>
      <c r="D55" s="291" t="s">
        <v>10</v>
      </c>
      <c r="E55" s="292">
        <v>38098</v>
      </c>
      <c r="F55" s="292">
        <v>39314</v>
      </c>
      <c r="G55" s="470">
        <v>1000</v>
      </c>
      <c r="H55" s="471">
        <v>500</v>
      </c>
      <c r="I55" s="465">
        <v>0.9</v>
      </c>
      <c r="J55" s="295">
        <v>1</v>
      </c>
      <c r="K55" s="332">
        <v>0.6</v>
      </c>
      <c r="L55" s="466">
        <f t="shared" si="4"/>
        <v>0.54</v>
      </c>
      <c r="M55" s="453">
        <f t="shared" si="5"/>
        <v>270</v>
      </c>
      <c r="N55" s="467"/>
    </row>
    <row r="56" spans="1:18" s="473" customFormat="1" ht="24.95" customHeight="1">
      <c r="A56" s="297">
        <v>10</v>
      </c>
      <c r="B56" s="290" t="s">
        <v>188</v>
      </c>
      <c r="C56" s="290"/>
      <c r="D56" s="291" t="s">
        <v>10</v>
      </c>
      <c r="E56" s="292">
        <v>38098</v>
      </c>
      <c r="F56" s="292">
        <v>39314</v>
      </c>
      <c r="G56" s="470">
        <v>1000</v>
      </c>
      <c r="H56" s="471">
        <v>500</v>
      </c>
      <c r="I56" s="465">
        <v>0.7</v>
      </c>
      <c r="J56" s="295">
        <v>1</v>
      </c>
      <c r="K56" s="332">
        <v>0.6</v>
      </c>
      <c r="L56" s="466">
        <f t="shared" si="4"/>
        <v>0.42</v>
      </c>
      <c r="M56" s="453">
        <f t="shared" si="5"/>
        <v>210</v>
      </c>
      <c r="N56" s="467"/>
    </row>
    <row r="57" spans="1:18" s="468" customFormat="1" ht="24.95" customHeight="1">
      <c r="A57" s="297">
        <v>11</v>
      </c>
      <c r="B57" s="290" t="s">
        <v>189</v>
      </c>
      <c r="C57" s="290"/>
      <c r="D57" s="291" t="s">
        <v>10</v>
      </c>
      <c r="E57" s="292">
        <v>38098</v>
      </c>
      <c r="F57" s="292">
        <v>39314</v>
      </c>
      <c r="G57" s="470">
        <v>340</v>
      </c>
      <c r="H57" s="471">
        <v>240</v>
      </c>
      <c r="I57" s="465">
        <v>0.7</v>
      </c>
      <c r="J57" s="295">
        <v>1</v>
      </c>
      <c r="K57" s="332">
        <v>0.6</v>
      </c>
      <c r="L57" s="466">
        <f t="shared" si="4"/>
        <v>0.42</v>
      </c>
      <c r="M57" s="453">
        <f t="shared" si="5"/>
        <v>100.8</v>
      </c>
      <c r="N57" s="467"/>
    </row>
    <row r="58" spans="1:18" s="473" customFormat="1" ht="24.95" customHeight="1">
      <c r="A58" s="297">
        <v>12</v>
      </c>
      <c r="B58" s="290" t="s">
        <v>190</v>
      </c>
      <c r="C58" s="290"/>
      <c r="D58" s="291" t="s">
        <v>10</v>
      </c>
      <c r="E58" s="292">
        <v>38098</v>
      </c>
      <c r="F58" s="292">
        <v>39314</v>
      </c>
      <c r="G58" s="470">
        <v>800</v>
      </c>
      <c r="H58" s="471">
        <v>400</v>
      </c>
      <c r="I58" s="465">
        <v>1</v>
      </c>
      <c r="J58" s="295">
        <v>1</v>
      </c>
      <c r="K58" s="332">
        <v>0.6</v>
      </c>
      <c r="L58" s="466">
        <f t="shared" si="4"/>
        <v>0.6</v>
      </c>
      <c r="M58" s="453">
        <f t="shared" si="5"/>
        <v>240</v>
      </c>
      <c r="N58" s="467"/>
    </row>
    <row r="59" spans="1:18" s="468" customFormat="1" ht="24.95" customHeight="1">
      <c r="A59" s="297">
        <v>13</v>
      </c>
      <c r="B59" s="290" t="s">
        <v>191</v>
      </c>
      <c r="C59" s="290"/>
      <c r="D59" s="291" t="s">
        <v>10</v>
      </c>
      <c r="E59" s="292">
        <v>38098</v>
      </c>
      <c r="F59" s="292">
        <v>39314</v>
      </c>
      <c r="G59" s="470">
        <v>500</v>
      </c>
      <c r="H59" s="471">
        <v>200</v>
      </c>
      <c r="I59" s="465">
        <v>0.8</v>
      </c>
      <c r="J59" s="295">
        <v>1</v>
      </c>
      <c r="K59" s="332">
        <v>0.6</v>
      </c>
      <c r="L59" s="466">
        <f t="shared" si="4"/>
        <v>0.48</v>
      </c>
      <c r="M59" s="453">
        <f t="shared" si="5"/>
        <v>96</v>
      </c>
      <c r="N59" s="467"/>
    </row>
    <row r="60" spans="1:18" s="468" customFormat="1" ht="24.95" customHeight="1">
      <c r="A60" s="297">
        <v>14</v>
      </c>
      <c r="B60" s="290" t="s">
        <v>188</v>
      </c>
      <c r="C60" s="290"/>
      <c r="D60" s="291" t="s">
        <v>10</v>
      </c>
      <c r="E60" s="292">
        <v>38098</v>
      </c>
      <c r="F60" s="292">
        <v>39314</v>
      </c>
      <c r="G60" s="470">
        <v>400</v>
      </c>
      <c r="H60" s="471">
        <v>150</v>
      </c>
      <c r="I60" s="465">
        <v>0.7</v>
      </c>
      <c r="J60" s="295">
        <v>1</v>
      </c>
      <c r="K60" s="332">
        <v>0.6</v>
      </c>
      <c r="L60" s="466">
        <f t="shared" si="4"/>
        <v>0.42</v>
      </c>
      <c r="M60" s="453">
        <f t="shared" si="5"/>
        <v>63</v>
      </c>
      <c r="N60" s="467"/>
    </row>
    <row r="61" spans="1:18" s="468" customFormat="1" ht="24.95" customHeight="1" thickBot="1">
      <c r="A61" s="474">
        <v>15</v>
      </c>
      <c r="B61" s="475" t="s">
        <v>190</v>
      </c>
      <c r="C61" s="475"/>
      <c r="D61" s="291" t="s">
        <v>10</v>
      </c>
      <c r="E61" s="292">
        <v>38098</v>
      </c>
      <c r="F61" s="292">
        <v>39314</v>
      </c>
      <c r="G61" s="476">
        <v>580</v>
      </c>
      <c r="H61" s="477">
        <v>300</v>
      </c>
      <c r="I61" s="478">
        <v>0.9</v>
      </c>
      <c r="J61" s="295">
        <v>1</v>
      </c>
      <c r="K61" s="332">
        <v>0.6</v>
      </c>
      <c r="L61" s="479">
        <f t="shared" si="4"/>
        <v>0.54</v>
      </c>
      <c r="M61" s="480">
        <f t="shared" si="5"/>
        <v>162</v>
      </c>
      <c r="N61" s="481"/>
    </row>
    <row r="62" spans="1:18" s="468" customFormat="1" ht="24.95" customHeight="1">
      <c r="A62" s="1107" t="s">
        <v>181</v>
      </c>
      <c r="B62" s="1108"/>
      <c r="C62" s="1108"/>
      <c r="D62" s="1108"/>
      <c r="E62" s="1108"/>
      <c r="F62" s="1108"/>
      <c r="G62" s="1108"/>
      <c r="H62" s="1108"/>
      <c r="I62" s="1108"/>
      <c r="J62" s="1108"/>
      <c r="K62" s="1101"/>
      <c r="L62" s="482">
        <f>ROUND(SUM(L47:L61),2)</f>
        <v>7.32</v>
      </c>
      <c r="M62" s="483">
        <f>ROUND(SUM(M47:M61),0)</f>
        <v>2108</v>
      </c>
      <c r="N62" s="484"/>
    </row>
    <row r="63" spans="1:18" s="468" customFormat="1" ht="24.95" customHeight="1" thickBot="1">
      <c r="A63" s="1109" t="s">
        <v>182</v>
      </c>
      <c r="B63" s="1110"/>
      <c r="C63" s="1110"/>
      <c r="D63" s="1110"/>
      <c r="E63" s="1110"/>
      <c r="F63" s="1110"/>
      <c r="G63" s="1110"/>
      <c r="H63" s="1110"/>
      <c r="I63" s="1110"/>
      <c r="J63" s="1110"/>
      <c r="K63" s="1111"/>
      <c r="L63" s="485"/>
      <c r="M63" s="486">
        <f>ROUND(M62/(배점기준!$H$4/1000),2)</f>
        <v>4.22</v>
      </c>
      <c r="N63" s="487"/>
    </row>
    <row r="64" spans="1:18" s="468" customFormat="1" ht="24.95" customHeight="1">
      <c r="A64" s="328"/>
      <c r="B64" s="328"/>
      <c r="C64" s="328"/>
      <c r="D64" s="328"/>
      <c r="E64" s="328"/>
      <c r="F64" s="328"/>
      <c r="G64" s="328"/>
      <c r="H64" s="328"/>
      <c r="I64" s="328"/>
      <c r="J64" s="328"/>
      <c r="K64" s="328"/>
      <c r="L64" s="490"/>
      <c r="M64" s="491"/>
      <c r="N64" s="472"/>
    </row>
    <row r="65" spans="1:14" s="468" customFormat="1" ht="24.95" customHeight="1">
      <c r="A65" s="328"/>
      <c r="B65" s="328"/>
      <c r="C65" s="328"/>
      <c r="D65" s="328"/>
      <c r="E65" s="328"/>
      <c r="F65" s="328"/>
      <c r="G65" s="328"/>
      <c r="H65" s="328"/>
      <c r="I65" s="328"/>
      <c r="J65" s="328"/>
      <c r="K65" s="328"/>
      <c r="L65" s="490"/>
      <c r="M65" s="491"/>
      <c r="N65" s="472"/>
    </row>
    <row r="66" spans="1:14" s="468" customFormat="1" ht="24.95" customHeight="1">
      <c r="A66" s="328"/>
      <c r="B66" s="328"/>
      <c r="C66" s="328"/>
      <c r="D66" s="328"/>
      <c r="E66" s="328"/>
      <c r="F66" s="328"/>
      <c r="G66" s="328"/>
      <c r="H66" s="328"/>
      <c r="I66" s="328"/>
      <c r="J66" s="328"/>
      <c r="K66" s="328"/>
      <c r="L66" s="490"/>
      <c r="M66" s="491"/>
      <c r="N66" s="472"/>
    </row>
    <row r="67" spans="1:14" s="468" customFormat="1" ht="24.95" customHeight="1">
      <c r="A67" s="328"/>
      <c r="B67" s="328"/>
      <c r="C67" s="328"/>
      <c r="D67" s="328"/>
      <c r="E67" s="328"/>
      <c r="F67" s="328"/>
      <c r="G67" s="328"/>
      <c r="H67" s="328"/>
      <c r="I67" s="328"/>
      <c r="J67" s="328"/>
      <c r="K67" s="328"/>
      <c r="L67" s="490"/>
      <c r="M67" s="491"/>
      <c r="N67" s="472"/>
    </row>
    <row r="68" spans="1:14" s="468" customFormat="1" ht="24.95" customHeight="1">
      <c r="A68" s="328"/>
      <c r="B68" s="328"/>
      <c r="C68" s="328"/>
      <c r="D68" s="328"/>
      <c r="E68" s="328"/>
      <c r="F68" s="328"/>
      <c r="G68" s="328"/>
      <c r="H68" s="328"/>
      <c r="I68" s="328"/>
      <c r="J68" s="328"/>
      <c r="K68" s="328"/>
      <c r="L68" s="490"/>
      <c r="M68" s="491"/>
      <c r="N68" s="472"/>
    </row>
    <row r="69" spans="1:14" s="468" customFormat="1" ht="24.95" customHeight="1">
      <c r="A69" s="328"/>
      <c r="B69" s="328"/>
      <c r="C69" s="328"/>
      <c r="D69" s="328"/>
      <c r="E69" s="328"/>
      <c r="F69" s="328"/>
      <c r="G69" s="328"/>
      <c r="H69" s="328"/>
      <c r="I69" s="328"/>
      <c r="J69" s="328"/>
      <c r="K69" s="328"/>
      <c r="L69" s="490"/>
      <c r="M69" s="491"/>
      <c r="N69" s="472"/>
    </row>
    <row r="70" spans="1:14" s="468" customFormat="1" ht="24.95" customHeight="1">
      <c r="A70" s="328"/>
      <c r="B70" s="328"/>
      <c r="C70" s="328"/>
      <c r="D70" s="328"/>
      <c r="E70" s="328"/>
      <c r="F70" s="328"/>
      <c r="G70" s="328"/>
      <c r="H70" s="328"/>
      <c r="I70" s="328"/>
      <c r="J70" s="328"/>
      <c r="K70" s="328"/>
      <c r="L70" s="490"/>
      <c r="M70" s="491"/>
      <c r="N70" s="472"/>
    </row>
    <row r="71" spans="1:14" s="468" customFormat="1" ht="24.95" customHeight="1">
      <c r="A71" s="328"/>
      <c r="B71" s="328"/>
      <c r="C71" s="328"/>
      <c r="D71" s="328"/>
      <c r="E71" s="328"/>
      <c r="F71" s="328"/>
      <c r="G71" s="328"/>
      <c r="H71" s="328"/>
      <c r="I71" s="328"/>
      <c r="J71" s="328"/>
      <c r="K71" s="328"/>
      <c r="L71" s="490"/>
      <c r="M71" s="491"/>
      <c r="N71" s="472"/>
    </row>
    <row r="72" spans="1:14" s="468" customFormat="1" ht="24.95" customHeight="1">
      <c r="A72" s="328"/>
      <c r="B72" s="328"/>
      <c r="C72" s="328"/>
      <c r="D72" s="328"/>
      <c r="E72" s="328"/>
      <c r="F72" s="328"/>
      <c r="G72" s="328"/>
      <c r="H72" s="328"/>
      <c r="I72" s="328"/>
      <c r="J72" s="328"/>
      <c r="K72" s="328"/>
      <c r="L72" s="490"/>
      <c r="M72" s="491"/>
      <c r="N72" s="472"/>
    </row>
    <row r="73" spans="1:14" s="468" customFormat="1" ht="24.95" customHeight="1">
      <c r="A73" s="328"/>
      <c r="B73" s="328"/>
      <c r="C73" s="328"/>
      <c r="D73" s="328"/>
      <c r="E73" s="328"/>
      <c r="F73" s="328"/>
      <c r="G73" s="328"/>
      <c r="H73" s="328"/>
      <c r="I73" s="328"/>
      <c r="J73" s="328"/>
      <c r="K73" s="328"/>
      <c r="L73" s="490"/>
      <c r="M73" s="491"/>
      <c r="N73" s="472"/>
    </row>
    <row r="74" spans="1:14" s="468" customFormat="1" ht="24.95" customHeight="1">
      <c r="A74" s="328"/>
      <c r="B74" s="328"/>
      <c r="C74" s="328"/>
      <c r="D74" s="328"/>
      <c r="E74" s="328"/>
      <c r="F74" s="328"/>
      <c r="G74" s="328"/>
      <c r="H74" s="328"/>
      <c r="I74" s="328"/>
      <c r="J74" s="328"/>
      <c r="K74" s="328"/>
      <c r="L74" s="490"/>
      <c r="M74" s="491"/>
      <c r="N74" s="472"/>
    </row>
    <row r="75" spans="1:14" s="468" customFormat="1" ht="24.95" customHeight="1">
      <c r="A75" s="328"/>
      <c r="B75" s="328"/>
      <c r="C75" s="328"/>
      <c r="D75" s="328"/>
      <c r="E75" s="328"/>
      <c r="F75" s="328"/>
      <c r="G75" s="328"/>
      <c r="H75" s="328"/>
      <c r="I75" s="328"/>
      <c r="J75" s="328"/>
      <c r="K75" s="328"/>
      <c r="L75" s="490"/>
      <c r="M75" s="491"/>
      <c r="N75" s="472"/>
    </row>
    <row r="76" spans="1:14" s="468" customFormat="1" ht="24.95" customHeight="1">
      <c r="A76" s="328"/>
      <c r="B76" s="328"/>
      <c r="C76" s="328"/>
      <c r="D76" s="328"/>
      <c r="E76" s="328"/>
      <c r="F76" s="328"/>
      <c r="G76" s="328"/>
      <c r="H76" s="328"/>
      <c r="I76" s="328"/>
      <c r="J76" s="328"/>
      <c r="K76" s="328"/>
      <c r="L76" s="490"/>
      <c r="M76" s="491"/>
      <c r="N76" s="472"/>
    </row>
    <row r="77" spans="1:14" s="468" customFormat="1" ht="24.95" customHeight="1">
      <c r="A77" s="328"/>
      <c r="B77" s="328"/>
      <c r="C77" s="328"/>
      <c r="D77" s="328"/>
      <c r="E77" s="328"/>
      <c r="F77" s="328"/>
      <c r="G77" s="328"/>
      <c r="H77" s="328"/>
      <c r="I77" s="328"/>
      <c r="J77" s="328"/>
      <c r="K77" s="328"/>
      <c r="L77" s="490"/>
      <c r="M77" s="491"/>
      <c r="N77" s="472"/>
    </row>
    <row r="78" spans="1:14" s="468" customFormat="1" ht="24.95" customHeight="1">
      <c r="A78" s="328"/>
      <c r="B78" s="328"/>
      <c r="C78" s="328"/>
      <c r="D78" s="328"/>
      <c r="E78" s="328"/>
      <c r="F78" s="328"/>
      <c r="G78" s="328"/>
      <c r="H78" s="328"/>
      <c r="I78" s="328"/>
      <c r="J78" s="328"/>
      <c r="K78" s="328"/>
      <c r="L78" s="490"/>
      <c r="M78" s="491"/>
      <c r="N78" s="472"/>
    </row>
    <row r="79" spans="1:14" s="468" customFormat="1" ht="24.95" customHeight="1">
      <c r="A79" s="328"/>
      <c r="B79" s="328"/>
      <c r="C79" s="328"/>
      <c r="D79" s="328"/>
      <c r="E79" s="328"/>
      <c r="F79" s="328"/>
      <c r="G79" s="328"/>
      <c r="H79" s="328"/>
      <c r="I79" s="328"/>
      <c r="J79" s="328"/>
      <c r="K79" s="328"/>
      <c r="L79" s="490"/>
      <c r="M79" s="491"/>
      <c r="N79" s="472"/>
    </row>
    <row r="80" spans="1:14" s="468" customFormat="1" ht="24.95" customHeight="1">
      <c r="A80" s="328"/>
      <c r="B80" s="328"/>
      <c r="C80" s="328"/>
      <c r="D80" s="328"/>
      <c r="E80" s="328"/>
      <c r="F80" s="328"/>
      <c r="G80" s="328"/>
      <c r="H80" s="328"/>
      <c r="I80" s="328"/>
      <c r="J80" s="328"/>
      <c r="K80" s="328"/>
      <c r="L80" s="490"/>
      <c r="M80" s="491"/>
      <c r="N80" s="472"/>
    </row>
    <row r="81" spans="1:14" s="468" customFormat="1" ht="24.95" customHeight="1">
      <c r="A81" s="328"/>
      <c r="B81" s="328"/>
      <c r="C81" s="328"/>
      <c r="D81" s="328"/>
      <c r="E81" s="328"/>
      <c r="F81" s="328"/>
      <c r="G81" s="328"/>
      <c r="H81" s="328"/>
      <c r="I81" s="328"/>
      <c r="J81" s="328"/>
      <c r="K81" s="328"/>
      <c r="L81" s="490"/>
      <c r="M81" s="491"/>
      <c r="N81" s="472"/>
    </row>
    <row r="82" spans="1:14" s="468" customFormat="1" ht="24.95" customHeight="1">
      <c r="A82" s="328"/>
      <c r="B82" s="328"/>
      <c r="C82" s="328"/>
      <c r="D82" s="328"/>
      <c r="E82" s="328"/>
      <c r="F82" s="328"/>
      <c r="G82" s="328"/>
      <c r="H82" s="328"/>
      <c r="I82" s="328"/>
      <c r="J82" s="328"/>
      <c r="K82" s="328"/>
      <c r="L82" s="490"/>
      <c r="M82" s="491"/>
      <c r="N82" s="472"/>
    </row>
    <row r="83" spans="1:14" s="468" customFormat="1" ht="24.95" customHeight="1">
      <c r="A83" s="328"/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490"/>
      <c r="M83" s="491"/>
      <c r="N83" s="472"/>
    </row>
    <row r="84" spans="1:14" s="468" customFormat="1" ht="24.95" customHeight="1">
      <c r="A84" s="328"/>
      <c r="B84" s="328"/>
      <c r="C84" s="328"/>
      <c r="D84" s="328"/>
      <c r="E84" s="328"/>
      <c r="F84" s="328"/>
      <c r="G84" s="328"/>
      <c r="H84" s="328"/>
      <c r="I84" s="328"/>
      <c r="J84" s="328"/>
      <c r="K84" s="328"/>
      <c r="L84" s="490"/>
      <c r="M84" s="491"/>
      <c r="N84" s="472"/>
    </row>
    <row r="85" spans="1:14" s="468" customFormat="1" ht="24.95" customHeight="1">
      <c r="A85" s="328"/>
      <c r="B85" s="328"/>
      <c r="C85" s="328"/>
      <c r="D85" s="328"/>
      <c r="E85" s="328"/>
      <c r="F85" s="328"/>
      <c r="G85" s="328"/>
      <c r="H85" s="328"/>
      <c r="I85" s="328"/>
      <c r="J85" s="328"/>
      <c r="K85" s="328"/>
      <c r="L85" s="490"/>
      <c r="M85" s="491"/>
      <c r="N85" s="472"/>
    </row>
    <row r="86" spans="1:14" s="468" customFormat="1" ht="24.95" customHeight="1">
      <c r="A86" s="328"/>
      <c r="B86" s="328"/>
      <c r="C86" s="328"/>
      <c r="D86" s="328"/>
      <c r="E86" s="328"/>
      <c r="F86" s="328"/>
      <c r="G86" s="328"/>
      <c r="H86" s="328"/>
      <c r="I86" s="328"/>
      <c r="J86" s="328"/>
      <c r="K86" s="328"/>
      <c r="L86" s="490"/>
      <c r="M86" s="491"/>
      <c r="N86" s="472"/>
    </row>
    <row r="87" spans="1:14" s="468" customFormat="1" ht="24.95" customHeight="1">
      <c r="A87" s="328"/>
      <c r="B87" s="328"/>
      <c r="C87" s="328"/>
      <c r="D87" s="328"/>
      <c r="E87" s="328"/>
      <c r="F87" s="328"/>
      <c r="G87" s="328"/>
      <c r="H87" s="328"/>
      <c r="I87" s="328"/>
      <c r="J87" s="328"/>
      <c r="K87" s="328"/>
      <c r="L87" s="490"/>
      <c r="M87" s="491"/>
      <c r="N87" s="472"/>
    </row>
    <row r="88" spans="1:14" s="468" customFormat="1" ht="24.95" customHeight="1">
      <c r="A88" s="328"/>
      <c r="B88" s="328"/>
      <c r="C88" s="328"/>
      <c r="D88" s="328"/>
      <c r="E88" s="328"/>
      <c r="F88" s="328"/>
      <c r="G88" s="328"/>
      <c r="H88" s="328"/>
      <c r="I88" s="328"/>
      <c r="J88" s="328"/>
      <c r="K88" s="328"/>
      <c r="L88" s="490"/>
      <c r="M88" s="491"/>
      <c r="N88" s="472"/>
    </row>
    <row r="89" spans="1:14" s="468" customFormat="1" ht="24.95" customHeight="1">
      <c r="A89" s="328"/>
      <c r="B89" s="328"/>
      <c r="C89" s="328"/>
      <c r="D89" s="328"/>
      <c r="E89" s="328"/>
      <c r="F89" s="328"/>
      <c r="G89" s="328"/>
      <c r="H89" s="328"/>
      <c r="I89" s="328"/>
      <c r="J89" s="328"/>
      <c r="K89" s="328"/>
      <c r="L89" s="490"/>
      <c r="M89" s="491"/>
      <c r="N89" s="472"/>
    </row>
    <row r="90" spans="1:14" s="468" customFormat="1" ht="24.95" customHeight="1">
      <c r="A90" s="328"/>
      <c r="B90" s="328"/>
      <c r="C90" s="328"/>
      <c r="D90" s="328"/>
      <c r="E90" s="328"/>
      <c r="F90" s="328"/>
      <c r="G90" s="328"/>
      <c r="H90" s="328"/>
      <c r="I90" s="328"/>
      <c r="J90" s="328"/>
      <c r="K90" s="328"/>
      <c r="L90" s="490"/>
      <c r="M90" s="491"/>
      <c r="N90" s="472"/>
    </row>
    <row r="91" spans="1:14" s="468" customFormat="1" ht="24.95" customHeight="1">
      <c r="A91" s="328"/>
      <c r="B91" s="328"/>
      <c r="C91" s="328"/>
      <c r="D91" s="328"/>
      <c r="E91" s="328"/>
      <c r="F91" s="328"/>
      <c r="G91" s="328"/>
      <c r="H91" s="328"/>
      <c r="I91" s="328"/>
      <c r="J91" s="328"/>
      <c r="K91" s="328"/>
      <c r="L91" s="490"/>
      <c r="M91" s="491"/>
      <c r="N91" s="472"/>
    </row>
    <row r="92" spans="1:14" s="468" customFormat="1" ht="24.95" customHeight="1">
      <c r="A92" s="328"/>
      <c r="B92" s="328"/>
      <c r="C92" s="328"/>
      <c r="D92" s="328"/>
      <c r="E92" s="328"/>
      <c r="F92" s="328"/>
      <c r="G92" s="328"/>
      <c r="H92" s="328"/>
      <c r="I92" s="328"/>
      <c r="J92" s="328"/>
      <c r="K92" s="328"/>
      <c r="L92" s="490"/>
      <c r="M92" s="491"/>
      <c r="N92" s="472"/>
    </row>
    <row r="93" spans="1:14" s="468" customFormat="1" ht="24.95" customHeight="1">
      <c r="A93" s="328"/>
      <c r="B93" s="328"/>
      <c r="C93" s="328"/>
      <c r="D93" s="328"/>
      <c r="E93" s="328"/>
      <c r="F93" s="328"/>
      <c r="G93" s="328"/>
      <c r="H93" s="328"/>
      <c r="I93" s="328"/>
      <c r="J93" s="328"/>
      <c r="K93" s="328"/>
      <c r="L93" s="490"/>
      <c r="M93" s="491"/>
      <c r="N93" s="472"/>
    </row>
    <row r="94" spans="1:14" s="468" customFormat="1" ht="24.95" customHeight="1">
      <c r="A94" s="328"/>
      <c r="B94" s="328"/>
      <c r="C94" s="328"/>
      <c r="D94" s="328"/>
      <c r="E94" s="328"/>
      <c r="F94" s="328"/>
      <c r="G94" s="328"/>
      <c r="H94" s="328"/>
      <c r="I94" s="328"/>
      <c r="J94" s="328"/>
      <c r="K94" s="328"/>
      <c r="L94" s="490"/>
      <c r="M94" s="491"/>
      <c r="N94" s="472"/>
    </row>
    <row r="95" spans="1:14" s="468" customFormat="1" ht="24.95" customHeight="1">
      <c r="A95" s="328"/>
      <c r="B95" s="328"/>
      <c r="C95" s="328"/>
      <c r="D95" s="328"/>
      <c r="E95" s="328"/>
      <c r="F95" s="328"/>
      <c r="G95" s="328"/>
      <c r="H95" s="328"/>
      <c r="I95" s="328"/>
      <c r="J95" s="328"/>
      <c r="K95" s="328"/>
      <c r="L95" s="490"/>
      <c r="M95" s="491"/>
      <c r="N95" s="472"/>
    </row>
    <row r="96" spans="1:14" s="468" customFormat="1" ht="24.95" customHeight="1">
      <c r="A96" s="328"/>
      <c r="B96" s="328"/>
      <c r="C96" s="328"/>
      <c r="D96" s="328"/>
      <c r="E96" s="328"/>
      <c r="F96" s="328"/>
      <c r="G96" s="328"/>
      <c r="H96" s="328"/>
      <c r="I96" s="328"/>
      <c r="J96" s="328"/>
      <c r="K96" s="328"/>
      <c r="L96" s="490"/>
      <c r="M96" s="491"/>
      <c r="N96" s="472"/>
    </row>
    <row r="97" spans="1:15" s="468" customFormat="1" ht="24.95" customHeight="1">
      <c r="A97" s="328"/>
      <c r="B97" s="328"/>
      <c r="C97" s="328"/>
      <c r="D97" s="328"/>
      <c r="E97" s="328"/>
      <c r="F97" s="328"/>
      <c r="G97" s="328"/>
      <c r="H97" s="328"/>
      <c r="I97" s="328"/>
      <c r="J97" s="328"/>
      <c r="K97" s="328"/>
      <c r="L97" s="490"/>
      <c r="M97" s="491"/>
      <c r="N97" s="472"/>
    </row>
    <row r="98" spans="1:15" s="468" customFormat="1" ht="24.95" customHeight="1">
      <c r="A98" s="328"/>
      <c r="B98" s="328"/>
      <c r="C98" s="328"/>
      <c r="D98" s="328"/>
      <c r="E98" s="328"/>
      <c r="F98" s="328"/>
      <c r="G98" s="328"/>
      <c r="H98" s="328"/>
      <c r="I98" s="328"/>
      <c r="J98" s="328"/>
      <c r="K98" s="328"/>
      <c r="L98" s="490"/>
      <c r="M98" s="491"/>
      <c r="N98" s="472"/>
    </row>
    <row r="99" spans="1:15" s="468" customFormat="1" ht="24.95" customHeight="1">
      <c r="A99" s="328"/>
      <c r="B99" s="328"/>
      <c r="C99" s="328"/>
      <c r="D99" s="328"/>
      <c r="E99" s="328"/>
      <c r="F99" s="328"/>
      <c r="G99" s="328"/>
      <c r="H99" s="328"/>
      <c r="I99" s="328"/>
      <c r="J99" s="328"/>
      <c r="K99" s="328"/>
      <c r="L99" s="490"/>
      <c r="M99" s="491"/>
      <c r="N99" s="472"/>
    </row>
    <row r="100" spans="1:15" s="468" customFormat="1" ht="24.95" customHeight="1">
      <c r="A100" s="328"/>
      <c r="B100" s="328"/>
      <c r="C100" s="328"/>
      <c r="D100" s="328"/>
      <c r="E100" s="328"/>
      <c r="F100" s="328"/>
      <c r="G100" s="328"/>
      <c r="H100" s="328"/>
      <c r="I100" s="328"/>
      <c r="J100" s="328"/>
      <c r="K100" s="328"/>
      <c r="L100" s="490"/>
      <c r="M100" s="491"/>
      <c r="N100" s="472"/>
    </row>
    <row r="101" spans="1:15" s="468" customFormat="1" ht="24.95" customHeight="1">
      <c r="A101" s="328"/>
      <c r="B101" s="328"/>
      <c r="C101" s="328"/>
      <c r="D101" s="328"/>
      <c r="E101" s="328"/>
      <c r="F101" s="328"/>
      <c r="G101" s="328"/>
      <c r="H101" s="328"/>
      <c r="I101" s="328"/>
      <c r="J101" s="328"/>
      <c r="K101" s="328"/>
      <c r="L101" s="490"/>
      <c r="M101" s="491"/>
      <c r="N101" s="472"/>
    </row>
    <row r="102" spans="1:15" ht="15.75" customHeight="1">
      <c r="A102" s="492"/>
      <c r="B102" s="493"/>
      <c r="C102" s="493"/>
      <c r="D102" s="493"/>
      <c r="E102" s="493"/>
      <c r="F102" s="493"/>
      <c r="G102" s="494"/>
      <c r="H102" s="495"/>
      <c r="I102" s="495"/>
      <c r="J102" s="495"/>
      <c r="K102" s="495"/>
      <c r="L102" s="496"/>
      <c r="M102" s="497"/>
    </row>
    <row r="103" spans="1:15" s="306" customFormat="1" ht="15" customHeight="1">
      <c r="A103" s="312" t="s">
        <v>168</v>
      </c>
      <c r="B103" s="308" t="s">
        <v>185</v>
      </c>
      <c r="C103" s="308"/>
      <c r="D103" s="308"/>
      <c r="E103" s="308"/>
      <c r="F103" s="308"/>
      <c r="G103" s="498"/>
      <c r="H103" s="315"/>
      <c r="I103" s="315"/>
      <c r="J103" s="315"/>
      <c r="K103" s="315"/>
      <c r="L103" s="499"/>
      <c r="M103" s="315"/>
    </row>
    <row r="104" spans="1:15" s="306" customFormat="1" ht="20.25" customHeight="1">
      <c r="A104" s="310" t="s">
        <v>29</v>
      </c>
      <c r="B104" s="308" t="s">
        <v>31</v>
      </c>
      <c r="C104" s="313"/>
      <c r="D104" s="313"/>
      <c r="E104" s="313"/>
      <c r="F104" s="313"/>
      <c r="G104" s="393"/>
      <c r="H104" s="316"/>
      <c r="I104" s="316"/>
      <c r="J104" s="316"/>
      <c r="K104" s="316"/>
      <c r="L104" s="316"/>
      <c r="M104" s="316"/>
    </row>
    <row r="105" spans="1:15" s="306" customFormat="1" ht="23.25" customHeight="1">
      <c r="A105" s="310" t="s">
        <v>32</v>
      </c>
      <c r="B105" s="308" t="s">
        <v>33</v>
      </c>
      <c r="C105" s="308"/>
      <c r="D105" s="308"/>
      <c r="E105" s="308"/>
      <c r="F105" s="308"/>
      <c r="G105" s="308"/>
      <c r="H105" s="310"/>
      <c r="I105" s="316"/>
      <c r="J105" s="316"/>
      <c r="K105" s="316"/>
      <c r="L105" s="316"/>
      <c r="M105" s="316"/>
    </row>
    <row r="106" spans="1:15" s="310" customFormat="1" ht="18.75" customHeight="1">
      <c r="A106" s="310" t="s">
        <v>126</v>
      </c>
      <c r="B106" s="308" t="s">
        <v>18</v>
      </c>
      <c r="C106" s="308"/>
      <c r="D106" s="308"/>
      <c r="E106" s="308"/>
      <c r="F106" s="311"/>
      <c r="G106" s="311"/>
      <c r="H106" s="311"/>
      <c r="I106" s="309"/>
      <c r="J106" s="309"/>
      <c r="K106" s="309"/>
      <c r="L106" s="309"/>
      <c r="M106" s="309"/>
      <c r="N106" s="309"/>
      <c r="O106" s="309"/>
    </row>
    <row r="107" spans="1:15" s="312" customFormat="1" ht="27" customHeight="1">
      <c r="A107" s="310" t="s">
        <v>131</v>
      </c>
      <c r="B107" s="1003" t="s">
        <v>545</v>
      </c>
      <c r="C107" s="1003"/>
      <c r="D107" s="1003"/>
      <c r="E107" s="1003"/>
      <c r="F107" s="1003"/>
      <c r="G107" s="1003"/>
      <c r="H107" s="1003"/>
      <c r="I107" s="311"/>
      <c r="J107" s="311"/>
    </row>
    <row r="108" spans="1:15" s="310" customFormat="1" ht="21" customHeight="1">
      <c r="A108" s="310" t="s">
        <v>186</v>
      </c>
      <c r="B108" s="308" t="s">
        <v>34</v>
      </c>
      <c r="C108" s="308"/>
      <c r="D108" s="308"/>
      <c r="E108" s="308"/>
      <c r="F108" s="308"/>
      <c r="G108" s="393"/>
      <c r="H108" s="316"/>
      <c r="K108" s="309"/>
      <c r="L108" s="309"/>
      <c r="M108" s="309"/>
    </row>
    <row r="109" spans="1:15" s="306" customFormat="1" ht="12" customHeight="1">
      <c r="A109" s="310" t="s">
        <v>187</v>
      </c>
      <c r="B109" s="314" t="s">
        <v>35</v>
      </c>
      <c r="C109" s="314"/>
      <c r="D109" s="314"/>
      <c r="E109" s="314"/>
      <c r="F109" s="314"/>
      <c r="G109" s="393"/>
      <c r="H109" s="316"/>
      <c r="I109" s="316"/>
      <c r="J109" s="316"/>
      <c r="K109" s="316"/>
      <c r="L109" s="316"/>
      <c r="M109" s="316"/>
    </row>
    <row r="110" spans="1:15" s="306" customFormat="1" ht="15" customHeight="1">
      <c r="A110" s="310"/>
      <c r="B110" s="319"/>
      <c r="C110" s="315"/>
      <c r="D110" s="315"/>
      <c r="E110" s="315"/>
      <c r="F110" s="315"/>
      <c r="G110" s="393"/>
      <c r="H110" s="316"/>
      <c r="I110" s="316"/>
      <c r="J110" s="316"/>
      <c r="K110" s="316"/>
      <c r="L110" s="316"/>
      <c r="M110" s="316"/>
    </row>
    <row r="111" spans="1:15" s="306" customFormat="1" ht="15" customHeight="1">
      <c r="B111" s="319"/>
      <c r="C111" s="319"/>
      <c r="D111" s="319"/>
      <c r="E111" s="319"/>
      <c r="F111" s="319"/>
      <c r="G111" s="500"/>
      <c r="H111" s="321"/>
      <c r="I111" s="316"/>
      <c r="J111" s="316"/>
      <c r="K111" s="316"/>
      <c r="L111" s="316"/>
      <c r="M111" s="316"/>
    </row>
    <row r="112" spans="1:15" ht="15" customHeight="1"/>
  </sheetData>
  <mergeCells count="44">
    <mergeCell ref="M45:M46"/>
    <mergeCell ref="N45:N46"/>
    <mergeCell ref="A62:K62"/>
    <mergeCell ref="A63:K63"/>
    <mergeCell ref="G45:G46"/>
    <mergeCell ref="H45:H46"/>
    <mergeCell ref="I45:I46"/>
    <mergeCell ref="J45:K45"/>
    <mergeCell ref="L45:L46"/>
    <mergeCell ref="A45:A46"/>
    <mergeCell ref="B45:B46"/>
    <mergeCell ref="C45:C46"/>
    <mergeCell ref="D45:D46"/>
    <mergeCell ref="E45:F45"/>
    <mergeCell ref="L24:L25"/>
    <mergeCell ref="M24:M25"/>
    <mergeCell ref="N24:N25"/>
    <mergeCell ref="A41:K41"/>
    <mergeCell ref="A42:K42"/>
    <mergeCell ref="B107:H107"/>
    <mergeCell ref="A20:K20"/>
    <mergeCell ref="A21:K21"/>
    <mergeCell ref="H3:H4"/>
    <mergeCell ref="J3:K3"/>
    <mergeCell ref="A24:A25"/>
    <mergeCell ref="B24:B25"/>
    <mergeCell ref="C24:C25"/>
    <mergeCell ref="D24:D25"/>
    <mergeCell ref="E24:F24"/>
    <mergeCell ref="G24:G25"/>
    <mergeCell ref="H24:H25"/>
    <mergeCell ref="I24:I25"/>
    <mergeCell ref="J24:K24"/>
    <mergeCell ref="A1:B1"/>
    <mergeCell ref="A3:A4"/>
    <mergeCell ref="B3:B4"/>
    <mergeCell ref="D3:D4"/>
    <mergeCell ref="C3:C4"/>
    <mergeCell ref="N3:N4"/>
    <mergeCell ref="E3:F3"/>
    <mergeCell ref="G3:G4"/>
    <mergeCell ref="I3:I4"/>
    <mergeCell ref="M3:M4"/>
    <mergeCell ref="L3:L4"/>
  </mergeCells>
  <phoneticPr fontId="3" type="noConversion"/>
  <dataValidations disablePrompts="1" count="1">
    <dataValidation type="list" allowBlank="1" showInputMessage="1" showErrorMessage="1" sqref="J5:K19 J26:K40 J47:K61">
      <formula1>$R$5:$R$6</formula1>
    </dataValidation>
  </dataValidations>
  <pageMargins left="0.74803149606299213" right="0.74803149606299213" top="0.78740157480314965" bottom="0.78740157480314965" header="0.51181102362204722" footer="0.51181102362204722"/>
  <pageSetup paperSize="9" scale="59" fitToHeight="3" orientation="landscape" r:id="rId1"/>
  <headerFooter alignWithMargins="0"/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0"/>
  </sheetPr>
  <dimension ref="A1:O40"/>
  <sheetViews>
    <sheetView view="pageBreakPreview" topLeftCell="A13" zoomScaleNormal="100" zoomScaleSheetLayoutView="100" workbookViewId="0">
      <selection activeCell="C22" sqref="C22"/>
    </sheetView>
  </sheetViews>
  <sheetFormatPr defaultRowHeight="15.95" customHeight="1"/>
  <cols>
    <col min="1" max="1" width="2.109375" style="179" customWidth="1"/>
    <col min="2" max="2" width="32.6640625" style="179" customWidth="1"/>
    <col min="3" max="3" width="14.88671875" style="179" customWidth="1"/>
    <col min="4" max="7" width="10" style="179" customWidth="1"/>
    <col min="8" max="8" width="10" style="394" customWidth="1"/>
    <col min="9" max="9" width="10" style="180" customWidth="1"/>
    <col min="10" max="11" width="8.21875" style="179" customWidth="1"/>
    <col min="12" max="12" width="8.21875" style="395" customWidth="1"/>
    <col min="13" max="13" width="8.21875" style="179" customWidth="1"/>
    <col min="14" max="15" width="7.77734375" style="509" customWidth="1"/>
    <col min="16" max="16" width="8.88671875" style="179"/>
    <col min="17" max="17" width="3.33203125" style="179" customWidth="1"/>
    <col min="18" max="20" width="11.88671875" style="179" customWidth="1"/>
    <col min="21" max="16384" width="8.88671875" style="179"/>
  </cols>
  <sheetData>
    <row r="1" spans="1:15" s="351" customFormat="1" ht="18.75" customHeight="1">
      <c r="A1" s="350" t="s">
        <v>408</v>
      </c>
      <c r="H1" s="352"/>
      <c r="I1" s="422"/>
      <c r="N1" s="501"/>
      <c r="O1" s="501"/>
    </row>
    <row r="2" spans="1:15" s="351" customFormat="1" ht="18.75" customHeight="1">
      <c r="A2" s="350"/>
      <c r="H2" s="352"/>
      <c r="I2" s="422"/>
      <c r="N2" s="501"/>
      <c r="O2" s="501"/>
    </row>
    <row r="3" spans="1:15" s="351" customFormat="1" ht="28.5" customHeight="1">
      <c r="A3" s="350"/>
      <c r="B3" s="502" t="s">
        <v>435</v>
      </c>
      <c r="C3" s="502"/>
      <c r="H3" s="352"/>
      <c r="I3" s="422"/>
      <c r="N3" s="501"/>
      <c r="O3" s="501"/>
    </row>
    <row r="4" spans="1:15" s="181" customFormat="1" ht="28.5" customHeight="1">
      <c r="B4" s="1147" t="s">
        <v>267</v>
      </c>
      <c r="C4" s="1148"/>
      <c r="D4" s="1121" t="s">
        <v>434</v>
      </c>
      <c r="E4" s="1122"/>
      <c r="F4" s="1122"/>
      <c r="G4" s="1121" t="s">
        <v>439</v>
      </c>
      <c r="H4" s="1123"/>
      <c r="I4" s="1139" t="s">
        <v>437</v>
      </c>
      <c r="J4" s="1140"/>
      <c r="K4" s="503"/>
      <c r="L4" s="504"/>
      <c r="M4" s="505"/>
    </row>
    <row r="5" spans="1:15" s="181" customFormat="1" ht="28.5" customHeight="1">
      <c r="B5" s="1149" t="s">
        <v>430</v>
      </c>
      <c r="C5" s="1150"/>
      <c r="D5" s="1130">
        <f>부실벌점!I8</f>
        <v>-0.26</v>
      </c>
      <c r="E5" s="1131"/>
      <c r="F5" s="1132"/>
      <c r="G5" s="1124">
        <f>D5+D6+D7+D8+D9</f>
        <v>-4.12</v>
      </c>
      <c r="H5" s="1125"/>
      <c r="I5" s="1141">
        <f>IF((배점기준!D95+G5)&gt;=0,(배점기준!D95+G5),0)</f>
        <v>0.87999999999999989</v>
      </c>
      <c r="J5" s="1142"/>
      <c r="K5" s="506"/>
      <c r="L5" s="507"/>
      <c r="M5" s="508"/>
    </row>
    <row r="6" spans="1:15" s="181" customFormat="1" ht="28.5" customHeight="1">
      <c r="B6" s="1151" t="s">
        <v>431</v>
      </c>
      <c r="C6" s="1152"/>
      <c r="D6" s="1133">
        <f>부실벌점!I15</f>
        <v>-3</v>
      </c>
      <c r="E6" s="1134"/>
      <c r="F6" s="1135"/>
      <c r="G6" s="1126"/>
      <c r="H6" s="1127"/>
      <c r="I6" s="1143"/>
      <c r="J6" s="1144"/>
      <c r="K6" s="506"/>
      <c r="L6" s="507"/>
      <c r="M6" s="508"/>
    </row>
    <row r="7" spans="1:15" s="181" customFormat="1" ht="28.5" customHeight="1">
      <c r="B7" s="1151" t="s">
        <v>432</v>
      </c>
      <c r="C7" s="1152"/>
      <c r="D7" s="1133">
        <f>부실벌점!I22</f>
        <v>-0.2</v>
      </c>
      <c r="E7" s="1134"/>
      <c r="F7" s="1135"/>
      <c r="G7" s="1126"/>
      <c r="H7" s="1127"/>
      <c r="I7" s="1143"/>
      <c r="J7" s="1144"/>
      <c r="K7" s="506"/>
      <c r="L7" s="507"/>
      <c r="M7" s="508"/>
    </row>
    <row r="8" spans="1:15" ht="28.5" customHeight="1">
      <c r="B8" s="1151" t="s">
        <v>433</v>
      </c>
      <c r="C8" s="1152"/>
      <c r="D8" s="1133">
        <f>부실벌점!I29</f>
        <v>-0.26</v>
      </c>
      <c r="E8" s="1134"/>
      <c r="F8" s="1135"/>
      <c r="G8" s="1126"/>
      <c r="H8" s="1127"/>
      <c r="I8" s="1143"/>
      <c r="J8" s="1144"/>
      <c r="K8" s="506"/>
      <c r="L8" s="507"/>
      <c r="M8" s="508"/>
    </row>
    <row r="9" spans="1:15" ht="28.5" customHeight="1">
      <c r="B9" s="1153" t="s">
        <v>436</v>
      </c>
      <c r="C9" s="1154"/>
      <c r="D9" s="1136">
        <f>부실벌점!I46</f>
        <v>-0.4</v>
      </c>
      <c r="E9" s="1137"/>
      <c r="F9" s="1138"/>
      <c r="G9" s="1128"/>
      <c r="H9" s="1129"/>
      <c r="I9" s="1145"/>
      <c r="J9" s="1146"/>
      <c r="K9" s="506"/>
      <c r="L9" s="510"/>
      <c r="M9" s="511"/>
    </row>
    <row r="10" spans="1:15" ht="12" customHeight="1">
      <c r="B10" s="395"/>
      <c r="C10" s="395"/>
    </row>
    <row r="11" spans="1:15" ht="28.5" customHeight="1">
      <c r="B11" s="502" t="s">
        <v>104</v>
      </c>
      <c r="C11" s="502"/>
      <c r="D11" s="502"/>
      <c r="E11" s="501"/>
      <c r="F11" s="501"/>
      <c r="G11" s="501"/>
      <c r="H11" s="501"/>
      <c r="I11" s="501"/>
      <c r="J11" s="351"/>
    </row>
    <row r="12" spans="1:15" ht="28.5" customHeight="1">
      <c r="B12" s="1117" t="s">
        <v>44</v>
      </c>
      <c r="C12" s="1119" t="s">
        <v>446</v>
      </c>
      <c r="D12" s="512" t="s">
        <v>72</v>
      </c>
      <c r="E12" s="513" t="s">
        <v>73</v>
      </c>
      <c r="F12" s="514" t="s">
        <v>74</v>
      </c>
      <c r="G12" s="512" t="s">
        <v>72</v>
      </c>
      <c r="H12" s="513" t="s">
        <v>73</v>
      </c>
      <c r="I12" s="515" t="s">
        <v>74</v>
      </c>
      <c r="J12" s="516" t="s">
        <v>105</v>
      </c>
      <c r="K12" s="1119" t="s">
        <v>55</v>
      </c>
      <c r="L12" s="1119" t="s">
        <v>45</v>
      </c>
    </row>
    <row r="13" spans="1:15" ht="28.5" customHeight="1">
      <c r="B13" s="1118"/>
      <c r="C13" s="1120"/>
      <c r="D13" s="517" t="s">
        <v>53</v>
      </c>
      <c r="E13" s="518" t="s">
        <v>53</v>
      </c>
      <c r="F13" s="519" t="s">
        <v>53</v>
      </c>
      <c r="G13" s="517" t="s">
        <v>46</v>
      </c>
      <c r="H13" s="518" t="s">
        <v>46</v>
      </c>
      <c r="I13" s="520" t="s">
        <v>46</v>
      </c>
      <c r="J13" s="521" t="s">
        <v>46</v>
      </c>
      <c r="K13" s="1120"/>
      <c r="L13" s="1120"/>
    </row>
    <row r="14" spans="1:15" ht="28.5" customHeight="1">
      <c r="B14" s="522" t="str">
        <f>참여업체!C6</f>
        <v>㈜ㅁㅁ엔지니어링</v>
      </c>
      <c r="C14" s="523" t="s">
        <v>447</v>
      </c>
      <c r="D14" s="524" t="s">
        <v>75</v>
      </c>
      <c r="E14" s="525" t="s">
        <v>85</v>
      </c>
      <c r="F14" s="526" t="s">
        <v>75</v>
      </c>
      <c r="G14" s="527">
        <f>IF(C14="대기업/중기업",I23,I24)</f>
        <v>3</v>
      </c>
      <c r="H14" s="528">
        <f>IF(C14="대기업/중기업",J23,J24)</f>
        <v>2.7</v>
      </c>
      <c r="I14" s="529">
        <f>IF(C14="대기업/중기업",K23,K24)</f>
        <v>3</v>
      </c>
      <c r="J14" s="530">
        <f>MAX(G14:I14)</f>
        <v>3</v>
      </c>
      <c r="K14" s="429">
        <f>참여업체!$C$7</f>
        <v>0.5</v>
      </c>
      <c r="L14" s="1114">
        <f>ROUND((J14*K14+J15*K15+J16*K16+L45),2)</f>
        <v>3</v>
      </c>
    </row>
    <row r="15" spans="1:15" ht="28.5" customHeight="1">
      <c r="B15" s="531" t="str">
        <f>참여업체!D6</f>
        <v>ㅇㅇ엔지니어링㈜</v>
      </c>
      <c r="C15" s="532" t="s">
        <v>448</v>
      </c>
      <c r="D15" s="533" t="s">
        <v>449</v>
      </c>
      <c r="E15" s="534" t="s">
        <v>85</v>
      </c>
      <c r="F15" s="535" t="s">
        <v>546</v>
      </c>
      <c r="G15" s="536">
        <f>IF(C15="대기업/중기업",I25,I26)</f>
        <v>2.7</v>
      </c>
      <c r="H15" s="537">
        <f>IF(C15="대기업/중기업",J25,J26)</f>
        <v>3</v>
      </c>
      <c r="I15" s="538">
        <f>IF(C15="대기업/중기업",K25,K26)</f>
        <v>3</v>
      </c>
      <c r="J15" s="539">
        <f t="shared" ref="J15:J16" si="0">MAX(G15:I15)</f>
        <v>3</v>
      </c>
      <c r="K15" s="433">
        <f>참여업체!$D$7</f>
        <v>0.3</v>
      </c>
      <c r="L15" s="1115"/>
    </row>
    <row r="16" spans="1:15" ht="28.5" customHeight="1">
      <c r="B16" s="540" t="str">
        <f>참여업체!E6</f>
        <v>◇◇기술공사㈜</v>
      </c>
      <c r="C16" s="541" t="s">
        <v>448</v>
      </c>
      <c r="D16" s="542" t="s">
        <v>94</v>
      </c>
      <c r="E16" s="543" t="s">
        <v>91</v>
      </c>
      <c r="F16" s="544" t="s">
        <v>547</v>
      </c>
      <c r="G16" s="545">
        <f>IF($C$16="대기업/중기업",I27,I28)</f>
        <v>2.4</v>
      </c>
      <c r="H16" s="546">
        <f t="shared" ref="H16:I16" si="1">IF($C$16="대기업/중기업",J27,J28)</f>
        <v>3</v>
      </c>
      <c r="I16" s="547">
        <f t="shared" si="1"/>
        <v>3</v>
      </c>
      <c r="J16" s="548">
        <f t="shared" si="0"/>
        <v>3</v>
      </c>
      <c r="K16" s="549">
        <f>참여업체!E7</f>
        <v>0.2</v>
      </c>
      <c r="L16" s="1116"/>
    </row>
    <row r="17" spans="1:13" ht="11.25" customHeight="1"/>
    <row r="18" spans="1:13" s="323" customFormat="1" ht="15" customHeight="1">
      <c r="A18" s="550" t="s">
        <v>548</v>
      </c>
      <c r="B18" s="550" t="s">
        <v>549</v>
      </c>
      <c r="C18" s="550"/>
      <c r="D18" s="551"/>
      <c r="E18" s="552"/>
      <c r="F18" s="552"/>
      <c r="G18" s="552"/>
      <c r="H18" s="552"/>
      <c r="I18" s="552"/>
      <c r="J18" s="552"/>
      <c r="K18" s="552"/>
      <c r="L18" s="553"/>
      <c r="M18" s="322"/>
    </row>
    <row r="19" spans="1:13" ht="15.95" customHeight="1">
      <c r="A19" s="550" t="s">
        <v>550</v>
      </c>
      <c r="B19" s="550" t="s">
        <v>551</v>
      </c>
      <c r="C19" s="550"/>
    </row>
    <row r="20" spans="1:13" ht="15.95" customHeight="1">
      <c r="A20" s="550" t="s">
        <v>132</v>
      </c>
      <c r="B20" s="550" t="s">
        <v>552</v>
      </c>
      <c r="C20" s="550"/>
    </row>
    <row r="21" spans="1:13" ht="15.95" customHeight="1" thickBot="1"/>
    <row r="22" spans="1:13" ht="15.95" customHeight="1" thickBot="1">
      <c r="D22" s="554" t="s">
        <v>553</v>
      </c>
      <c r="E22" s="555" t="s">
        <v>554</v>
      </c>
      <c r="F22" s="556" t="s">
        <v>555</v>
      </c>
      <c r="H22" s="557" t="s">
        <v>556</v>
      </c>
      <c r="I22" s="179"/>
      <c r="L22" s="179"/>
    </row>
    <row r="23" spans="1:13" ht="15.95" customHeight="1">
      <c r="D23" s="558" t="s">
        <v>75</v>
      </c>
      <c r="E23" s="559" t="s">
        <v>76</v>
      </c>
      <c r="F23" s="560" t="s">
        <v>75</v>
      </c>
      <c r="H23" s="561" t="s">
        <v>557</v>
      </c>
      <c r="I23" s="562">
        <f>IF(OR(D14=D$23,D14=D$24,D14=D$25,D14=D$26,D14=D$27,D14=D$28,D14=D$29),3,IF(OR(D14=D$30,D14=D$31,D14=D$32),2.7,IF(OR(D14=D$33,D14=D$34,D14=D$35,D14=D$36,D14=D$37,D14=D$38),2.4,IF(D14=D$39,2.1,0))))</f>
        <v>3</v>
      </c>
      <c r="J23" s="563">
        <f>IF(OR(E14=E$23,E14=E$24,E14=E$25,E14=E$26),3,IF(OR(E14=E$28,E14=E$29,E14=E$27),2.7,IF(OR(E14=E$30,E14=E$31,E14=E$32),2.4,IF(E14=E$33,2.1,0))))</f>
        <v>2.7</v>
      </c>
      <c r="K23" s="564">
        <f>IF(OR(F14=F$23,F14=F$24,F14=F$25,F14=F$26,F14=F$27,F14=F$28,F14=F$29),3,IF(OR(F14=F$30,F14=F$31,F14=F$32),2.7,IF(OR(F14=F$33,F14=F$34,F14=F$35,F14=F$36,F14=F$37,F14=F$38),2.4,IF(F14=F$39,2.1,0))))</f>
        <v>3</v>
      </c>
      <c r="L23" s="179"/>
    </row>
    <row r="24" spans="1:13" ht="15.95" customHeight="1" thickBot="1">
      <c r="D24" s="558" t="s">
        <v>558</v>
      </c>
      <c r="E24" s="559" t="s">
        <v>77</v>
      </c>
      <c r="F24" s="560" t="s">
        <v>559</v>
      </c>
      <c r="H24" s="565" t="s">
        <v>560</v>
      </c>
      <c r="I24" s="566">
        <f>IF(OR(D14=D$23,D14=D$24,D14=D$25,D14=D$26,D14=D$27,D14=D$28,D14=D$29),3,IF(OR(D14=D$30,D14=D$31,D14=D$32),3,IF(OR(D14=D$33,D14=D$34,D14=D$35,D14=D$36,D14=D$37,D14=D$38),2.7,IF(D14=D$39,2.4,0))))</f>
        <v>3</v>
      </c>
      <c r="J24" s="567">
        <f t="shared" ref="J24:K24" si="2">IF(OR(E14=E$23,E14=E$24,E14=E$25,E14=E$26,E14=E$27,E14=E$28,E14=E$29),3,IF(OR(E14=E$30,E14=E$31,E14=E$32),3,IF(OR(E14=E$33,E14=E$34,E14=E$35,E14=E$36,E14=E$37,E14=E$38),2.7,IF(E14=E$39,2.4,0))))</f>
        <v>3</v>
      </c>
      <c r="K24" s="568">
        <f t="shared" si="2"/>
        <v>3</v>
      </c>
      <c r="L24" s="179"/>
    </row>
    <row r="25" spans="1:13" ht="15.95" customHeight="1">
      <c r="D25" s="558" t="s">
        <v>561</v>
      </c>
      <c r="E25" s="559" t="s">
        <v>78</v>
      </c>
      <c r="F25" s="560" t="s">
        <v>562</v>
      </c>
      <c r="H25" s="561" t="s">
        <v>563</v>
      </c>
      <c r="I25" s="569">
        <f>IF(OR(D15=D$23,D15=D$24,D15=D$25,D15=D$26,D15=D$27,D15=D$28,D15=D$29),3,IF(OR(D15=D$30,D15=D$31,D15=D$32),2.7,IF(OR(D15=D$33,D15=D$34,D15=D$35,D15=D$36,D15=D$37,D15=D$38),2.4,IF(D15=D$39,2.1,0))))</f>
        <v>2.4</v>
      </c>
      <c r="J25" s="530">
        <f>IF(OR(E15=E$23,E15=E$24,E15=E$25,E15=E$26),3,IF(OR(E15=E$28,E15=E$29,E15=E$27),2.7,IF(OR(E15=E$30,E15=E$31,E15=E$32),2.4,IF(E15=E$33,2.1,0))))</f>
        <v>2.7</v>
      </c>
      <c r="K25" s="570">
        <f>IF(OR(F15=F$23,F15=F$24,F15=F$25,F15=F$26,F15=F$27,F15=F$28,F15=F$29),3,IF(OR(F15=F$30,F15=F$31,F15=F$32),2.7,IF(OR(F15=F$33,F15=F$34,F15=F$35,F15=F$36,F15=F$37,F15=F$38),2.4,IF(F15=F$39,2.1,0))))</f>
        <v>3</v>
      </c>
      <c r="L25" s="179"/>
    </row>
    <row r="26" spans="1:13" ht="15.95" customHeight="1" thickBot="1">
      <c r="D26" s="558" t="s">
        <v>564</v>
      </c>
      <c r="E26" s="559" t="s">
        <v>79</v>
      </c>
      <c r="F26" s="560" t="s">
        <v>565</v>
      </c>
      <c r="H26" s="565" t="s">
        <v>566</v>
      </c>
      <c r="I26" s="571">
        <f>IF(OR(D15=D$23,D15=D$24,D15=D$25,D15=D$26,D15=D$27,D15=D$28,D15=D$29),3,IF(OR(D15=D$30,D15=D$31,D15=D$32),3,IF(OR(D15=D$33,D15=D$34,D15=D$35,D15=D$36,D15=D$37,D15=D$38),2.7,IF(D15=D$39,2.4,0))))</f>
        <v>2.7</v>
      </c>
      <c r="J26" s="548">
        <f t="shared" ref="J26:K26" si="3">IF(OR(E15=E$23,E15=E$24,E15=E$25,E15=E$26,E15=E$27,E15=E$28,E15=E$29),3,IF(OR(E15=E$30,E15=E$31,E15=E$32),3,IF(OR(E15=E$33,E15=E$34,E15=E$35,E15=E$36,E15=E$37,E15=E$38),2.7,IF(E15=E$39,2.4,0))))</f>
        <v>3</v>
      </c>
      <c r="K26" s="572">
        <f t="shared" si="3"/>
        <v>3</v>
      </c>
      <c r="L26" s="179"/>
    </row>
    <row r="27" spans="1:13" ht="15.95" customHeight="1">
      <c r="D27" s="558" t="s">
        <v>80</v>
      </c>
      <c r="E27" s="559" t="s">
        <v>81</v>
      </c>
      <c r="F27" s="560" t="s">
        <v>80</v>
      </c>
      <c r="H27" s="561" t="s">
        <v>567</v>
      </c>
      <c r="I27" s="573">
        <f>IF(OR(D16=D$23,D16=D$24,D16=D$25,D16=D$26,D16=D$27,D16=D$28,D16=D$29),3,IF(OR(D16=D$30,D16=D$31,D16=D$32),2.7,IF(OR(D16=D$33,D16=D$34,D16=D$35,D16=D$36,D16=D$37,D16=D$38),2.4,IF(D16=D$39,2.1,0))))</f>
        <v>2.1</v>
      </c>
      <c r="J27" s="574">
        <f>IF(OR(E16=E$23,E16=E$24,E16=E$25,E16=E$26),3,IF(OR(E16=E$28,E16=E$29,E16=E$27),2.7,IF(OR(E16=E$30,E16=E$31,E16=E$32),2.4,IF(E16=E$33,2.1,0))))</f>
        <v>2.4</v>
      </c>
      <c r="K27" s="575">
        <f>IF(OR(F16=F$23,F16=F$24,F16=F$25,F16=F$26,F16=F$27,F16=F$28,F16=F$29),3,IF(OR(F16=F$30,F16=F$31,F16=F$32),2.7,IF(OR(F16=F$33,F16=F$34,F16=F$35,F16=F$36,F16=F$37,F16=F$38),2.4,IF(F16=F$39,2.1,0))))</f>
        <v>3</v>
      </c>
      <c r="L27" s="179"/>
    </row>
    <row r="28" spans="1:13" ht="15.95" customHeight="1" thickBot="1">
      <c r="D28" s="558" t="s">
        <v>82</v>
      </c>
      <c r="E28" s="559" t="s">
        <v>83</v>
      </c>
      <c r="F28" s="560" t="s">
        <v>82</v>
      </c>
      <c r="H28" s="565" t="s">
        <v>568</v>
      </c>
      <c r="I28" s="576">
        <f>IF(OR(D16=D$23,D16=D$24,D16=D$25,D16=D$26,D16=D$27,D16=D$28,D16=D$29),3,IF(OR(D16=D$30,D16=D$31,D16=D$32),3,IF(OR(D16=D$33,D16=D$34,D16=D$35,D16=D$36,D16=D$37,D16=D$38),2.7,IF(D16=D$39,2.4,0))))</f>
        <v>2.4</v>
      </c>
      <c r="J28" s="577">
        <f t="shared" ref="J28:K28" si="4">IF(OR(E16=E$23,E16=E$24,E16=E$25,E16=E$26,E16=E$27,E16=E$28,E16=E$29),3,IF(OR(E16=E$30,E16=E$31,E16=E$32),3,IF(OR(E16=E$33,E16=E$34,E16=E$35,E16=E$36,E16=E$37,E16=E$38),2.7,IF(E16=E$39,2.4,0))))</f>
        <v>3</v>
      </c>
      <c r="K28" s="578">
        <f t="shared" si="4"/>
        <v>3</v>
      </c>
    </row>
    <row r="29" spans="1:13" ht="15.95" customHeight="1">
      <c r="D29" s="558" t="s">
        <v>84</v>
      </c>
      <c r="E29" s="559" t="s">
        <v>85</v>
      </c>
      <c r="F29" s="560" t="s">
        <v>84</v>
      </c>
    </row>
    <row r="30" spans="1:13" ht="15.95" customHeight="1">
      <c r="D30" s="558" t="s">
        <v>86</v>
      </c>
      <c r="E30" s="559" t="s">
        <v>87</v>
      </c>
      <c r="F30" s="560" t="s">
        <v>86</v>
      </c>
    </row>
    <row r="31" spans="1:13" ht="15.95" customHeight="1">
      <c r="D31" s="558" t="s">
        <v>88</v>
      </c>
      <c r="E31" s="559" t="s">
        <v>89</v>
      </c>
      <c r="F31" s="560" t="s">
        <v>88</v>
      </c>
    </row>
    <row r="32" spans="1:13" ht="15.95" customHeight="1">
      <c r="D32" s="558" t="s">
        <v>90</v>
      </c>
      <c r="E32" s="559" t="s">
        <v>91</v>
      </c>
      <c r="F32" s="560" t="s">
        <v>90</v>
      </c>
    </row>
    <row r="33" spans="4:6" ht="15.95" customHeight="1">
      <c r="D33" s="558" t="s">
        <v>569</v>
      </c>
      <c r="E33" s="559" t="s">
        <v>92</v>
      </c>
      <c r="F33" s="560" t="s">
        <v>569</v>
      </c>
    </row>
    <row r="34" spans="4:6" ht="15.95" customHeight="1">
      <c r="D34" s="558" t="s">
        <v>570</v>
      </c>
      <c r="E34" s="559" t="s">
        <v>571</v>
      </c>
      <c r="F34" s="560" t="s">
        <v>570</v>
      </c>
    </row>
    <row r="35" spans="4:6" ht="15.95" customHeight="1">
      <c r="D35" s="558" t="s">
        <v>93</v>
      </c>
      <c r="E35" s="559"/>
      <c r="F35" s="560" t="s">
        <v>93</v>
      </c>
    </row>
    <row r="36" spans="4:6" ht="15.95" customHeight="1">
      <c r="D36" s="558" t="s">
        <v>572</v>
      </c>
      <c r="E36" s="559"/>
      <c r="F36" s="560" t="s">
        <v>572</v>
      </c>
    </row>
    <row r="37" spans="4:6" ht="15.95" customHeight="1">
      <c r="D37" s="558" t="s">
        <v>573</v>
      </c>
      <c r="E37" s="559"/>
      <c r="F37" s="560" t="s">
        <v>573</v>
      </c>
    </row>
    <row r="38" spans="4:6" ht="15.95" customHeight="1">
      <c r="D38" s="558" t="s">
        <v>574</v>
      </c>
      <c r="E38" s="559"/>
      <c r="F38" s="560" t="s">
        <v>574</v>
      </c>
    </row>
    <row r="39" spans="4:6" ht="15.95" customHeight="1">
      <c r="D39" s="558" t="s">
        <v>94</v>
      </c>
      <c r="E39" s="559"/>
      <c r="F39" s="560" t="s">
        <v>94</v>
      </c>
    </row>
    <row r="40" spans="4:6" ht="15.95" customHeight="1" thickBot="1">
      <c r="D40" s="579" t="s">
        <v>571</v>
      </c>
      <c r="E40" s="580"/>
      <c r="F40" s="581" t="s">
        <v>571</v>
      </c>
    </row>
  </sheetData>
  <protectedRanges>
    <protectedRange password="CF2F" sqref="D14:F16 D5:E9" name="범위1"/>
    <protectedRange password="CF2F" sqref="J5:J9" name="범위2"/>
    <protectedRange password="CF2F" sqref="J5:J9" name="범위1_1"/>
  </protectedRanges>
  <mergeCells count="21">
    <mergeCell ref="B5:C5"/>
    <mergeCell ref="B6:C6"/>
    <mergeCell ref="B7:C7"/>
    <mergeCell ref="B8:C8"/>
    <mergeCell ref="B9:C9"/>
    <mergeCell ref="L14:L16"/>
    <mergeCell ref="B12:B13"/>
    <mergeCell ref="L12:L13"/>
    <mergeCell ref="K12:K13"/>
    <mergeCell ref="D4:F4"/>
    <mergeCell ref="G4:H4"/>
    <mergeCell ref="G5:H9"/>
    <mergeCell ref="D5:F5"/>
    <mergeCell ref="D6:F6"/>
    <mergeCell ref="D7:F7"/>
    <mergeCell ref="D8:F8"/>
    <mergeCell ref="D9:F9"/>
    <mergeCell ref="I4:J4"/>
    <mergeCell ref="I5:J9"/>
    <mergeCell ref="C12:C13"/>
    <mergeCell ref="B4:C4"/>
  </mergeCells>
  <phoneticPr fontId="2" type="noConversion"/>
  <dataValidations disablePrompts="1" count="4">
    <dataValidation type="list" allowBlank="1" showInputMessage="1" showErrorMessage="1" sqref="E14:E16">
      <formula1>$E$23:$E$34</formula1>
    </dataValidation>
    <dataValidation type="list" allowBlank="1" showInputMessage="1" showErrorMessage="1" sqref="F14:F16">
      <formula1>$F$23:$F$40</formula1>
    </dataValidation>
    <dataValidation type="list" allowBlank="1" showInputMessage="1" showErrorMessage="1" sqref="D14:D16">
      <formula1>$D$23:$D$40</formula1>
    </dataValidation>
    <dataValidation type="list" allowBlank="1" showInputMessage="1" showErrorMessage="1" sqref="C14:C16">
      <formula1>$H$23:$H$24</formula1>
    </dataValidation>
  </dataValidations>
  <pageMargins left="0.74803149606299213" right="0.74803149606299213" top="0.98425196850393704" bottom="0.98425196850393704" header="0.51181102362204722" footer="0.51181102362204722"/>
  <pageSetup paperSize="9" scale="84" orientation="landscape" horizontalDpi="4294967293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0" enableFormatConditionsCalculation="0">
    <tabColor indexed="43"/>
  </sheetPr>
  <dimension ref="A1:T140"/>
  <sheetViews>
    <sheetView view="pageBreakPreview" zoomScale="85" zoomScaleNormal="55" zoomScaleSheetLayoutView="70" workbookViewId="0">
      <selection sqref="A1:XFD1048576"/>
    </sheetView>
  </sheetViews>
  <sheetFormatPr defaultRowHeight="15.95" customHeight="1"/>
  <cols>
    <col min="1" max="1" width="5.109375" style="179" customWidth="1"/>
    <col min="2" max="2" width="25.109375" style="179" customWidth="1"/>
    <col min="3" max="4" width="15.44140625" style="179" customWidth="1"/>
    <col min="5" max="5" width="31.88671875" style="179" customWidth="1"/>
    <col min="6" max="7" width="8.77734375" style="179" customWidth="1"/>
    <col min="8" max="8" width="15" style="179" customWidth="1"/>
    <col min="9" max="9" width="12" style="179" customWidth="1"/>
    <col min="10" max="10" width="11.6640625" style="179" customWidth="1"/>
    <col min="11" max="11" width="5.6640625" style="179" bestFit="1" customWidth="1"/>
    <col min="12" max="12" width="20.33203125" style="179" customWidth="1"/>
    <col min="13" max="13" width="17.33203125" style="179" customWidth="1"/>
    <col min="14" max="15" width="8" style="179" bestFit="1" customWidth="1"/>
    <col min="16" max="16" width="14" style="179" customWidth="1"/>
    <col min="17" max="17" width="8.109375" style="179" customWidth="1"/>
    <col min="18" max="18" width="12.77734375" style="179" customWidth="1"/>
    <col min="19" max="19" width="8.33203125" style="179" customWidth="1"/>
    <col min="20" max="20" width="7.88671875" style="394" customWidth="1"/>
    <col min="21" max="21" width="6.33203125" style="179" bestFit="1" customWidth="1"/>
    <col min="22" max="22" width="8.77734375" style="179" customWidth="1"/>
    <col min="23" max="23" width="6.33203125" style="179" bestFit="1" customWidth="1"/>
    <col min="24" max="24" width="8.5546875" style="179" customWidth="1"/>
    <col min="25" max="25" width="7.5546875" style="179" bestFit="1" customWidth="1"/>
    <col min="26" max="26" width="6" style="179" customWidth="1"/>
    <col min="27" max="27" width="9.44140625" style="179" customWidth="1"/>
    <col min="28" max="28" width="4" style="179" customWidth="1"/>
    <col min="29" max="29" width="7.77734375" style="179" customWidth="1"/>
    <col min="30" max="16384" width="8.88671875" style="179"/>
  </cols>
  <sheetData>
    <row r="1" spans="1:11" s="398" customFormat="1" ht="28.5" customHeight="1">
      <c r="A1" s="397"/>
      <c r="B1" s="350" t="s">
        <v>409</v>
      </c>
      <c r="C1" s="215"/>
      <c r="D1" s="215"/>
      <c r="E1" s="215"/>
      <c r="F1" s="215"/>
      <c r="G1" s="215"/>
      <c r="H1" s="215"/>
      <c r="I1" s="215"/>
      <c r="K1" s="399"/>
    </row>
    <row r="2" spans="1:11" s="398" customFormat="1" ht="8.25" customHeight="1">
      <c r="A2" s="397"/>
      <c r="B2" s="214"/>
      <c r="C2" s="215"/>
      <c r="D2" s="215"/>
      <c r="E2" s="215"/>
      <c r="F2" s="215"/>
      <c r="G2" s="215"/>
      <c r="H2" s="215"/>
      <c r="I2" s="215"/>
      <c r="K2" s="399"/>
    </row>
    <row r="3" spans="1:11" s="398" customFormat="1" ht="27.75" customHeight="1" thickBot="1">
      <c r="B3" s="214" t="s">
        <v>575</v>
      </c>
      <c r="K3" s="399"/>
    </row>
    <row r="4" spans="1:11" s="390" customFormat="1" ht="22.5" customHeight="1">
      <c r="B4" s="582" t="s">
        <v>44</v>
      </c>
      <c r="C4" s="583" t="s">
        <v>55</v>
      </c>
      <c r="D4" s="1157" t="s">
        <v>410</v>
      </c>
      <c r="E4" s="1158"/>
      <c r="F4" s="1157" t="s">
        <v>419</v>
      </c>
      <c r="G4" s="1158"/>
      <c r="H4" s="583" t="s">
        <v>415</v>
      </c>
      <c r="I4" s="584" t="s">
        <v>420</v>
      </c>
      <c r="K4" s="391"/>
    </row>
    <row r="5" spans="1:11" s="390" customFormat="1" ht="22.5" customHeight="1">
      <c r="B5" s="585" t="str">
        <f>참여업체!$C$6</f>
        <v>㈜ㅁㅁ엔지니어링</v>
      </c>
      <c r="C5" s="429">
        <f>참여업체!$C$7</f>
        <v>0.5</v>
      </c>
      <c r="D5" s="1159"/>
      <c r="E5" s="1160"/>
      <c r="F5" s="586">
        <v>40</v>
      </c>
      <c r="G5" s="587">
        <f>ROUNDUP(F5/30,0)</f>
        <v>2</v>
      </c>
      <c r="H5" s="588">
        <f>ROUND(배점기준!$F$96*G5,2)</f>
        <v>-0.4</v>
      </c>
      <c r="I5" s="589">
        <f>ROUND(H5*C5,2)</f>
        <v>-0.2</v>
      </c>
      <c r="K5" s="391"/>
    </row>
    <row r="6" spans="1:11" s="390" customFormat="1" ht="22.5" customHeight="1">
      <c r="B6" s="590" t="str">
        <f>참여업체!$D$6</f>
        <v>ㅇㅇ엔지니어링㈜</v>
      </c>
      <c r="C6" s="433">
        <f>참여업체!$D$7</f>
        <v>0.3</v>
      </c>
      <c r="D6" s="1162"/>
      <c r="E6" s="1163"/>
      <c r="F6" s="591">
        <v>30</v>
      </c>
      <c r="G6" s="592">
        <f t="shared" ref="G6:G7" si="0">ROUNDUP(F6/30,0)</f>
        <v>1</v>
      </c>
      <c r="H6" s="593">
        <f>ROUND(배점기준!$F$96*G6,2)</f>
        <v>-0.2</v>
      </c>
      <c r="I6" s="594">
        <f t="shared" ref="I6:I7" si="1">ROUND(H6*C6,2)</f>
        <v>-0.06</v>
      </c>
      <c r="K6" s="391"/>
    </row>
    <row r="7" spans="1:11" s="390" customFormat="1" ht="22.5" customHeight="1">
      <c r="B7" s="595" t="str">
        <f>참여업체!$E$6</f>
        <v>◇◇기술공사㈜</v>
      </c>
      <c r="C7" s="437">
        <f>참여업체!$E$7</f>
        <v>0.2</v>
      </c>
      <c r="D7" s="1164"/>
      <c r="E7" s="1165"/>
      <c r="F7" s="596">
        <v>0</v>
      </c>
      <c r="G7" s="597">
        <f t="shared" si="0"/>
        <v>0</v>
      </c>
      <c r="H7" s="598">
        <f>ROUND(배점기준!$F$96*G7,2)</f>
        <v>0</v>
      </c>
      <c r="I7" s="599">
        <f t="shared" si="1"/>
        <v>0</v>
      </c>
      <c r="K7" s="391"/>
    </row>
    <row r="8" spans="1:11" s="390" customFormat="1" ht="22.5" customHeight="1" thickBot="1">
      <c r="B8" s="600" t="s">
        <v>424</v>
      </c>
      <c r="C8" s="601"/>
      <c r="D8" s="1175"/>
      <c r="E8" s="1176"/>
      <c r="F8" s="602"/>
      <c r="G8" s="603"/>
      <c r="H8" s="604"/>
      <c r="I8" s="605">
        <f>SUM(I5:I7)</f>
        <v>-0.26</v>
      </c>
      <c r="K8" s="391"/>
    </row>
    <row r="9" spans="1:11" s="390" customFormat="1" ht="12" customHeight="1">
      <c r="B9" s="606"/>
      <c r="C9" s="445"/>
      <c r="D9" s="445"/>
      <c r="E9" s="607"/>
      <c r="F9" s="608"/>
      <c r="G9" s="608"/>
      <c r="H9" s="608"/>
      <c r="I9" s="609"/>
      <c r="K9" s="391"/>
    </row>
    <row r="10" spans="1:11" s="398" customFormat="1" ht="27.75" customHeight="1" thickBot="1">
      <c r="B10" s="214" t="s">
        <v>576</v>
      </c>
      <c r="K10" s="399"/>
    </row>
    <row r="11" spans="1:11" s="390" customFormat="1" ht="22.5" customHeight="1">
      <c r="B11" s="582" t="s">
        <v>44</v>
      </c>
      <c r="C11" s="583" t="s">
        <v>55</v>
      </c>
      <c r="D11" s="1168" t="s">
        <v>410</v>
      </c>
      <c r="E11" s="1168"/>
      <c r="F11" s="1157" t="s">
        <v>65</v>
      </c>
      <c r="G11" s="1158"/>
      <c r="H11" s="583" t="s">
        <v>415</v>
      </c>
      <c r="I11" s="610" t="s">
        <v>45</v>
      </c>
      <c r="K11" s="391"/>
    </row>
    <row r="12" spans="1:11" s="390" customFormat="1" ht="22.5" customHeight="1">
      <c r="B12" s="585" t="str">
        <f>참여업체!$C$6</f>
        <v>㈜ㅁㅁ엔지니어링</v>
      </c>
      <c r="C12" s="429">
        <f>참여업체!$C$7</f>
        <v>0.5</v>
      </c>
      <c r="D12" s="1161"/>
      <c r="E12" s="1161"/>
      <c r="F12" s="1181">
        <v>1</v>
      </c>
      <c r="G12" s="1182"/>
      <c r="H12" s="588">
        <f>ROUND(배점기준!$F$98*(F12),2)</f>
        <v>-3</v>
      </c>
      <c r="I12" s="589">
        <f>ROUND(H12*C12,2)</f>
        <v>-1.5</v>
      </c>
      <c r="K12" s="391"/>
    </row>
    <row r="13" spans="1:11" s="390" customFormat="1" ht="22.5" customHeight="1">
      <c r="B13" s="590" t="str">
        <f>참여업체!$D$6</f>
        <v>ㅇㅇ엔지니어링㈜</v>
      </c>
      <c r="C13" s="433">
        <f>참여업체!$D$7</f>
        <v>0.3</v>
      </c>
      <c r="D13" s="1166"/>
      <c r="E13" s="1166"/>
      <c r="F13" s="1183">
        <v>1</v>
      </c>
      <c r="G13" s="1184"/>
      <c r="H13" s="593">
        <f>ROUND(배점기준!$F$98*(F13),2)</f>
        <v>-3</v>
      </c>
      <c r="I13" s="594">
        <f t="shared" ref="I13:I14" si="2">ROUND(H13*C13,2)</f>
        <v>-0.9</v>
      </c>
      <c r="K13" s="391"/>
    </row>
    <row r="14" spans="1:11" s="390" customFormat="1" ht="22.5" customHeight="1">
      <c r="B14" s="595" t="str">
        <f>참여업체!$E$6</f>
        <v>◇◇기술공사㈜</v>
      </c>
      <c r="C14" s="437">
        <f>참여업체!$E$7</f>
        <v>0.2</v>
      </c>
      <c r="D14" s="1167"/>
      <c r="E14" s="1167"/>
      <c r="F14" s="1185">
        <v>1</v>
      </c>
      <c r="G14" s="1186"/>
      <c r="H14" s="598">
        <f>ROUND(배점기준!$F$98*(F14),2)</f>
        <v>-3</v>
      </c>
      <c r="I14" s="599">
        <f t="shared" si="2"/>
        <v>-0.6</v>
      </c>
      <c r="K14" s="391"/>
    </row>
    <row r="15" spans="1:11" s="390" customFormat="1" ht="22.5" customHeight="1" thickBot="1">
      <c r="B15" s="600" t="s">
        <v>424</v>
      </c>
      <c r="C15" s="601"/>
      <c r="D15" s="1175"/>
      <c r="E15" s="1176"/>
      <c r="F15" s="1171"/>
      <c r="G15" s="1172"/>
      <c r="H15" s="604"/>
      <c r="I15" s="605">
        <f>SUM(I12:I14)</f>
        <v>-3</v>
      </c>
      <c r="K15" s="391"/>
    </row>
    <row r="16" spans="1:11" s="398" customFormat="1" ht="7.5" customHeight="1">
      <c r="A16" s="397"/>
      <c r="B16" s="214"/>
      <c r="C16" s="215"/>
      <c r="D16" s="215"/>
      <c r="E16" s="215"/>
      <c r="F16" s="215"/>
      <c r="G16" s="215"/>
      <c r="H16" s="215"/>
      <c r="I16" s="215"/>
      <c r="K16" s="399"/>
    </row>
    <row r="17" spans="1:11" s="398" customFormat="1" ht="27.75" customHeight="1" thickBot="1">
      <c r="B17" s="214" t="s">
        <v>577</v>
      </c>
      <c r="K17" s="399"/>
    </row>
    <row r="18" spans="1:11" s="390" customFormat="1" ht="22.5" customHeight="1">
      <c r="B18" s="582" t="s">
        <v>44</v>
      </c>
      <c r="C18" s="583" t="s">
        <v>55</v>
      </c>
      <c r="D18" s="1169" t="s">
        <v>410</v>
      </c>
      <c r="E18" s="1170"/>
      <c r="F18" s="1169" t="s">
        <v>65</v>
      </c>
      <c r="G18" s="1170"/>
      <c r="H18" s="611" t="s">
        <v>415</v>
      </c>
      <c r="I18" s="610" t="s">
        <v>45</v>
      </c>
      <c r="K18" s="391"/>
    </row>
    <row r="19" spans="1:11" s="390" customFormat="1" ht="22.5" customHeight="1">
      <c r="B19" s="612" t="str">
        <f>참여업체!$C$6</f>
        <v>㈜ㅁㅁ엔지니어링</v>
      </c>
      <c r="C19" s="613">
        <f>참여업체!$C$7</f>
        <v>0.5</v>
      </c>
      <c r="D19" s="1161"/>
      <c r="E19" s="1161"/>
      <c r="F19" s="1181">
        <v>1</v>
      </c>
      <c r="G19" s="1182"/>
      <c r="H19" s="588">
        <f>ROUND(배점기준!$F$100*(F19),2)</f>
        <v>-0.2</v>
      </c>
      <c r="I19" s="589">
        <f>ROUND(H19*C19,2)</f>
        <v>-0.1</v>
      </c>
      <c r="K19" s="391"/>
    </row>
    <row r="20" spans="1:11" s="390" customFormat="1" ht="22.5" customHeight="1">
      <c r="B20" s="614" t="str">
        <f>참여업체!$D$6</f>
        <v>ㅇㅇ엔지니어링㈜</v>
      </c>
      <c r="C20" s="615">
        <f>참여업체!$D$7</f>
        <v>0.3</v>
      </c>
      <c r="D20" s="1166"/>
      <c r="E20" s="1166"/>
      <c r="F20" s="1183">
        <v>1</v>
      </c>
      <c r="G20" s="1184"/>
      <c r="H20" s="593">
        <f>ROUND(배점기준!$F$100*(F20),2)</f>
        <v>-0.2</v>
      </c>
      <c r="I20" s="594">
        <f t="shared" ref="I20:I21" si="3">ROUND(H20*C20,2)</f>
        <v>-0.06</v>
      </c>
      <c r="K20" s="391"/>
    </row>
    <row r="21" spans="1:11" s="390" customFormat="1" ht="22.5" customHeight="1">
      <c r="B21" s="616" t="str">
        <f>참여업체!$E$6</f>
        <v>◇◇기술공사㈜</v>
      </c>
      <c r="C21" s="617">
        <f>참여업체!$E$7</f>
        <v>0.2</v>
      </c>
      <c r="D21" s="1167"/>
      <c r="E21" s="1167"/>
      <c r="F21" s="1185">
        <v>1</v>
      </c>
      <c r="G21" s="1186"/>
      <c r="H21" s="598">
        <f>ROUND(배점기준!$F$100*(F21),2)</f>
        <v>-0.2</v>
      </c>
      <c r="I21" s="599">
        <f t="shared" si="3"/>
        <v>-0.04</v>
      </c>
      <c r="K21" s="391"/>
    </row>
    <row r="22" spans="1:11" s="390" customFormat="1" ht="22.5" customHeight="1" thickBot="1">
      <c r="B22" s="600" t="s">
        <v>424</v>
      </c>
      <c r="C22" s="601"/>
      <c r="D22" s="1175"/>
      <c r="E22" s="1176"/>
      <c r="F22" s="1171"/>
      <c r="G22" s="1172"/>
      <c r="H22" s="604"/>
      <c r="I22" s="605">
        <f>SUM(I19:I21)</f>
        <v>-0.2</v>
      </c>
      <c r="K22" s="391"/>
    </row>
    <row r="23" spans="1:11" s="398" customFormat="1" ht="12" customHeight="1">
      <c r="A23" s="397"/>
      <c r="B23" s="214"/>
      <c r="C23" s="215"/>
      <c r="D23" s="215"/>
      <c r="E23" s="215"/>
      <c r="F23" s="215"/>
      <c r="G23" s="215"/>
      <c r="H23" s="215"/>
      <c r="I23" s="215"/>
      <c r="K23" s="399"/>
    </row>
    <row r="24" spans="1:11" s="398" customFormat="1" ht="23.25" customHeight="1" thickBot="1">
      <c r="B24" s="214" t="s">
        <v>578</v>
      </c>
      <c r="K24" s="399"/>
    </row>
    <row r="25" spans="1:11" s="390" customFormat="1" ht="22.5" customHeight="1">
      <c r="B25" s="618" t="s">
        <v>44</v>
      </c>
      <c r="C25" s="619" t="s">
        <v>579</v>
      </c>
      <c r="D25" s="1169" t="s">
        <v>410</v>
      </c>
      <c r="E25" s="1170"/>
      <c r="F25" s="1169" t="s">
        <v>418</v>
      </c>
      <c r="G25" s="1170"/>
      <c r="H25" s="611" t="s">
        <v>415</v>
      </c>
      <c r="I25" s="610" t="s">
        <v>45</v>
      </c>
      <c r="K25" s="391"/>
    </row>
    <row r="26" spans="1:11" s="390" customFormat="1" ht="22.5" customHeight="1">
      <c r="B26" s="620" t="str">
        <f>참여업체!$C$6</f>
        <v>㈜ㅁㅁ엔지니어링</v>
      </c>
      <c r="C26" s="621">
        <f>참여업체!$C$7</f>
        <v>0.5</v>
      </c>
      <c r="D26" s="1178"/>
      <c r="E26" s="1178"/>
      <c r="F26" s="586">
        <v>40</v>
      </c>
      <c r="G26" s="587">
        <f>ROUNDUP(F26/30,0)</f>
        <v>2</v>
      </c>
      <c r="H26" s="588">
        <f>ROUND(배점기준!$F$96*G26,2)</f>
        <v>-0.4</v>
      </c>
      <c r="I26" s="589">
        <f>ROUND(H26*C26,2)</f>
        <v>-0.2</v>
      </c>
      <c r="K26" s="391"/>
    </row>
    <row r="27" spans="1:11" s="390" customFormat="1" ht="22.5" customHeight="1">
      <c r="B27" s="620" t="str">
        <f>참여업체!$D$6</f>
        <v>ㅇㅇ엔지니어링㈜</v>
      </c>
      <c r="C27" s="433">
        <f>참여업체!$D$7</f>
        <v>0.3</v>
      </c>
      <c r="D27" s="1179"/>
      <c r="E27" s="1179"/>
      <c r="F27" s="591">
        <v>30</v>
      </c>
      <c r="G27" s="592">
        <f t="shared" ref="G27:G28" si="4">ROUNDUP(F27/30,0)</f>
        <v>1</v>
      </c>
      <c r="H27" s="593">
        <f>ROUND(배점기준!$F$96*G27,2)</f>
        <v>-0.2</v>
      </c>
      <c r="I27" s="594">
        <f t="shared" ref="I27:I28" si="5">ROUND(H27*C27,2)</f>
        <v>-0.06</v>
      </c>
      <c r="K27" s="391"/>
    </row>
    <row r="28" spans="1:11" s="390" customFormat="1" ht="22.5" customHeight="1">
      <c r="B28" s="622" t="str">
        <f>참여업체!$E$6</f>
        <v>◇◇기술공사㈜</v>
      </c>
      <c r="C28" s="437">
        <f>참여업체!$E$7</f>
        <v>0.2</v>
      </c>
      <c r="D28" s="1180"/>
      <c r="E28" s="1180"/>
      <c r="F28" s="596">
        <v>0</v>
      </c>
      <c r="G28" s="597">
        <f t="shared" si="4"/>
        <v>0</v>
      </c>
      <c r="H28" s="598">
        <f>ROUND(배점기준!$F$96*G28,2)</f>
        <v>0</v>
      </c>
      <c r="I28" s="599">
        <f t="shared" si="5"/>
        <v>0</v>
      </c>
      <c r="K28" s="391"/>
    </row>
    <row r="29" spans="1:11" s="390" customFormat="1" ht="22.5" customHeight="1" thickBot="1">
      <c r="B29" s="600" t="s">
        <v>424</v>
      </c>
      <c r="C29" s="601"/>
      <c r="D29" s="1177"/>
      <c r="E29" s="1177"/>
      <c r="F29" s="623"/>
      <c r="G29" s="623"/>
      <c r="H29" s="604"/>
      <c r="I29" s="605">
        <f>SUM(I26:I28)</f>
        <v>-0.26</v>
      </c>
      <c r="K29" s="391"/>
    </row>
    <row r="30" spans="1:11" s="390" customFormat="1" ht="12" customHeight="1">
      <c r="B30" s="624"/>
      <c r="C30" s="625"/>
      <c r="D30" s="625"/>
      <c r="E30" s="625"/>
      <c r="F30" s="626"/>
      <c r="G30" s="626"/>
      <c r="H30" s="627"/>
      <c r="I30" s="627"/>
      <c r="K30" s="391"/>
    </row>
    <row r="31" spans="1:11" s="390" customFormat="1" ht="22.5" customHeight="1" thickBot="1">
      <c r="B31" s="214" t="s">
        <v>580</v>
      </c>
      <c r="C31" s="625"/>
      <c r="D31" s="625"/>
      <c r="E31" s="625"/>
      <c r="F31" s="626"/>
      <c r="G31" s="626"/>
      <c r="H31" s="627"/>
      <c r="I31" s="627"/>
      <c r="K31" s="391"/>
    </row>
    <row r="32" spans="1:11" s="390" customFormat="1" ht="22.5" customHeight="1">
      <c r="B32" s="1187" t="s">
        <v>427</v>
      </c>
      <c r="C32" s="1188"/>
      <c r="D32" s="628" t="s">
        <v>428</v>
      </c>
      <c r="E32" s="1189" t="s">
        <v>429</v>
      </c>
      <c r="F32" s="1190"/>
      <c r="G32" s="629"/>
      <c r="H32" s="630" t="s">
        <v>423</v>
      </c>
      <c r="I32" s="631" t="s">
        <v>438</v>
      </c>
      <c r="K32" s="391"/>
    </row>
    <row r="33" spans="1:11" s="390" customFormat="1" ht="22.5" customHeight="1">
      <c r="B33" s="1155" t="s">
        <v>211</v>
      </c>
      <c r="C33" s="1156"/>
      <c r="D33" s="632" t="s">
        <v>422</v>
      </c>
      <c r="E33" s="1196"/>
      <c r="F33" s="1197"/>
      <c r="G33" s="633"/>
      <c r="H33" s="634">
        <v>40</v>
      </c>
      <c r="I33" s="1193"/>
      <c r="K33" s="391"/>
    </row>
    <row r="34" spans="1:11" s="390" customFormat="1" ht="22.5" customHeight="1">
      <c r="B34" s="635" t="str">
        <f>배점기준!C3</f>
        <v>대기관리</v>
      </c>
      <c r="C34" s="636" t="s">
        <v>414</v>
      </c>
      <c r="D34" s="637" t="s">
        <v>421</v>
      </c>
      <c r="E34" s="1173"/>
      <c r="F34" s="1174"/>
      <c r="G34" s="638"/>
      <c r="H34" s="639"/>
      <c r="I34" s="1194"/>
      <c r="K34" s="391"/>
    </row>
    <row r="35" spans="1:11" s="390" customFormat="1" ht="22.5" customHeight="1">
      <c r="B35" s="635" t="str">
        <f>배점기준!C4</f>
        <v>수질관리</v>
      </c>
      <c r="C35" s="636" t="s">
        <v>414</v>
      </c>
      <c r="D35" s="640"/>
      <c r="E35" s="1173"/>
      <c r="F35" s="1174"/>
      <c r="G35" s="638"/>
      <c r="H35" s="639"/>
      <c r="I35" s="1194"/>
      <c r="K35" s="391"/>
    </row>
    <row r="36" spans="1:11" s="390" customFormat="1" ht="22.5" customHeight="1">
      <c r="B36" s="635" t="str">
        <f>배점기준!C5</f>
        <v>소음진동</v>
      </c>
      <c r="C36" s="636" t="s">
        <v>414</v>
      </c>
      <c r="D36" s="640"/>
      <c r="E36" s="1173"/>
      <c r="F36" s="1174"/>
      <c r="G36" s="638"/>
      <c r="H36" s="639"/>
      <c r="I36" s="1194"/>
      <c r="K36" s="391"/>
    </row>
    <row r="37" spans="1:11" s="390" customFormat="1" ht="22.5" customHeight="1">
      <c r="B37" s="635" t="str">
        <f>배점기준!C6</f>
        <v>폐기물처리</v>
      </c>
      <c r="C37" s="636" t="s">
        <v>414</v>
      </c>
      <c r="D37" s="640"/>
      <c r="E37" s="1173"/>
      <c r="F37" s="1174"/>
      <c r="G37" s="638"/>
      <c r="H37" s="639"/>
      <c r="I37" s="1194"/>
      <c r="K37" s="391"/>
    </row>
    <row r="38" spans="1:11" s="390" customFormat="1" ht="22.5" customHeight="1">
      <c r="B38" s="641">
        <f>배점기준!C7</f>
        <v>0</v>
      </c>
      <c r="C38" s="636" t="s">
        <v>414</v>
      </c>
      <c r="D38" s="640"/>
      <c r="E38" s="1173"/>
      <c r="F38" s="1174"/>
      <c r="G38" s="638"/>
      <c r="H38" s="639"/>
      <c r="I38" s="1194"/>
      <c r="K38" s="391"/>
    </row>
    <row r="39" spans="1:11" s="390" customFormat="1" ht="22.5" customHeight="1">
      <c r="B39" s="641">
        <f>배점기준!C8</f>
        <v>0</v>
      </c>
      <c r="C39" s="636" t="s">
        <v>414</v>
      </c>
      <c r="D39" s="640"/>
      <c r="E39" s="1173"/>
      <c r="F39" s="1174"/>
      <c r="G39" s="638"/>
      <c r="H39" s="639"/>
      <c r="I39" s="1194"/>
      <c r="K39" s="391"/>
    </row>
    <row r="40" spans="1:11" s="390" customFormat="1" ht="22.5" customHeight="1">
      <c r="B40" s="635" t="str">
        <f t="shared" ref="B40:B45" si="6">B34</f>
        <v>대기관리</v>
      </c>
      <c r="C40" s="636" t="s">
        <v>417</v>
      </c>
      <c r="D40" s="640"/>
      <c r="E40" s="1173"/>
      <c r="F40" s="1174"/>
      <c r="G40" s="638"/>
      <c r="H40" s="639"/>
      <c r="I40" s="1194"/>
      <c r="K40" s="391"/>
    </row>
    <row r="41" spans="1:11" s="390" customFormat="1" ht="22.5" customHeight="1">
      <c r="B41" s="635" t="str">
        <f t="shared" si="6"/>
        <v>수질관리</v>
      </c>
      <c r="C41" s="636" t="s">
        <v>417</v>
      </c>
      <c r="D41" s="640"/>
      <c r="E41" s="1173"/>
      <c r="F41" s="1174"/>
      <c r="G41" s="638"/>
      <c r="H41" s="639"/>
      <c r="I41" s="1194"/>
      <c r="K41" s="391"/>
    </row>
    <row r="42" spans="1:11" s="390" customFormat="1" ht="22.5" customHeight="1">
      <c r="B42" s="635" t="str">
        <f t="shared" si="6"/>
        <v>소음진동</v>
      </c>
      <c r="C42" s="636" t="s">
        <v>417</v>
      </c>
      <c r="D42" s="640"/>
      <c r="E42" s="1173"/>
      <c r="F42" s="1174"/>
      <c r="G42" s="638"/>
      <c r="H42" s="639"/>
      <c r="I42" s="1194"/>
      <c r="K42" s="391"/>
    </row>
    <row r="43" spans="1:11" s="390" customFormat="1" ht="22.5" customHeight="1">
      <c r="B43" s="635" t="str">
        <f t="shared" si="6"/>
        <v>폐기물처리</v>
      </c>
      <c r="C43" s="636" t="s">
        <v>417</v>
      </c>
      <c r="D43" s="640"/>
      <c r="E43" s="1173"/>
      <c r="F43" s="1174"/>
      <c r="G43" s="638"/>
      <c r="H43" s="639"/>
      <c r="I43" s="1194"/>
      <c r="K43" s="391"/>
    </row>
    <row r="44" spans="1:11" s="390" customFormat="1" ht="22.5" customHeight="1">
      <c r="B44" s="641">
        <f t="shared" si="6"/>
        <v>0</v>
      </c>
      <c r="C44" s="636" t="s">
        <v>417</v>
      </c>
      <c r="D44" s="640"/>
      <c r="E44" s="1173"/>
      <c r="F44" s="1174"/>
      <c r="G44" s="638"/>
      <c r="H44" s="639"/>
      <c r="I44" s="1194"/>
      <c r="K44" s="391"/>
    </row>
    <row r="45" spans="1:11" s="390" customFormat="1" ht="22.5" customHeight="1">
      <c r="B45" s="642">
        <f t="shared" si="6"/>
        <v>0</v>
      </c>
      <c r="C45" s="643" t="s">
        <v>417</v>
      </c>
      <c r="D45" s="644"/>
      <c r="E45" s="1173"/>
      <c r="F45" s="1174"/>
      <c r="G45" s="645"/>
      <c r="H45" s="646"/>
      <c r="I45" s="1195"/>
      <c r="K45" s="391"/>
    </row>
    <row r="46" spans="1:11" s="398" customFormat="1" ht="22.5" customHeight="1" thickBot="1">
      <c r="A46" s="397"/>
      <c r="B46" s="647" t="s">
        <v>150</v>
      </c>
      <c r="C46" s="648"/>
      <c r="D46" s="648"/>
      <c r="E46" s="1191"/>
      <c r="F46" s="1192"/>
      <c r="G46" s="649"/>
      <c r="H46" s="650">
        <f>ROUNDUP(SUM(H33:H45)/30,0)</f>
        <v>2</v>
      </c>
      <c r="I46" s="651">
        <f>H46*배점기준!F102</f>
        <v>-0.4</v>
      </c>
      <c r="K46" s="399"/>
    </row>
    <row r="47" spans="1:11" s="398" customFormat="1" ht="10.5">
      <c r="K47" s="399"/>
    </row>
    <row r="48" spans="1:11" s="398" customFormat="1" ht="20.100000000000001" customHeight="1">
      <c r="A48" s="304" t="s">
        <v>26</v>
      </c>
      <c r="B48" s="1004" t="s">
        <v>391</v>
      </c>
      <c r="C48" s="1004"/>
      <c r="D48" s="1004"/>
      <c r="E48" s="1004"/>
      <c r="F48" s="1004"/>
      <c r="G48" s="1004"/>
      <c r="H48" s="1004"/>
      <c r="I48" s="1004"/>
      <c r="J48" s="1004"/>
      <c r="K48" s="1004"/>
    </row>
    <row r="49" spans="1:11" s="398" customFormat="1" ht="20.100000000000001" customHeight="1">
      <c r="A49" s="307">
        <v>1</v>
      </c>
      <c r="B49" s="308" t="s">
        <v>581</v>
      </c>
      <c r="C49" s="308"/>
      <c r="D49" s="308"/>
      <c r="E49" s="308"/>
      <c r="F49" s="308"/>
      <c r="G49" s="308"/>
      <c r="H49" s="308"/>
      <c r="I49" s="308"/>
      <c r="J49" s="308"/>
      <c r="K49" s="309"/>
    </row>
    <row r="50" spans="1:11" s="398" customFormat="1" ht="20.100000000000001" customHeight="1">
      <c r="A50" s="307">
        <v>2</v>
      </c>
      <c r="B50" s="308" t="s">
        <v>486</v>
      </c>
      <c r="C50" s="308"/>
      <c r="D50" s="308"/>
      <c r="E50" s="308"/>
      <c r="F50" s="311"/>
      <c r="G50" s="311"/>
      <c r="H50" s="311"/>
      <c r="I50" s="311"/>
      <c r="J50" s="311"/>
      <c r="K50" s="312"/>
    </row>
    <row r="51" spans="1:11" s="398" customFormat="1" ht="20.100000000000001" customHeight="1">
      <c r="A51" s="307">
        <v>3</v>
      </c>
      <c r="B51" s="312" t="s">
        <v>416</v>
      </c>
      <c r="C51" s="308"/>
      <c r="D51" s="308"/>
      <c r="E51" s="308"/>
      <c r="F51" s="311"/>
      <c r="G51" s="311"/>
      <c r="H51" s="311"/>
      <c r="I51" s="311"/>
      <c r="J51" s="311"/>
      <c r="K51" s="312"/>
    </row>
    <row r="52" spans="1:11" s="398" customFormat="1" ht="20.100000000000001" customHeight="1">
      <c r="A52" s="307">
        <v>4</v>
      </c>
      <c r="B52" s="312" t="s">
        <v>426</v>
      </c>
      <c r="C52" s="308"/>
      <c r="D52" s="308"/>
      <c r="E52" s="308"/>
      <c r="F52" s="311"/>
      <c r="G52" s="311"/>
      <c r="H52" s="311"/>
      <c r="I52" s="311"/>
      <c r="J52" s="311"/>
      <c r="K52" s="312"/>
    </row>
    <row r="53" spans="1:11" s="398" customFormat="1" ht="20.100000000000001" customHeight="1">
      <c r="A53" s="307">
        <v>7</v>
      </c>
      <c r="B53" s="314" t="s">
        <v>487</v>
      </c>
      <c r="C53" s="314"/>
      <c r="D53" s="314"/>
      <c r="E53" s="314"/>
      <c r="F53" s="308"/>
      <c r="G53" s="308"/>
      <c r="H53" s="308"/>
      <c r="I53" s="308"/>
      <c r="J53" s="308"/>
      <c r="K53" s="309"/>
    </row>
    <row r="54" spans="1:11" s="398" customFormat="1" ht="15.95" customHeight="1">
      <c r="K54" s="399"/>
    </row>
    <row r="55" spans="1:11" s="398" customFormat="1" ht="15.95" customHeight="1">
      <c r="K55" s="399"/>
    </row>
    <row r="56" spans="1:11" s="398" customFormat="1" ht="15.95" customHeight="1">
      <c r="K56" s="399"/>
    </row>
    <row r="57" spans="1:11" s="398" customFormat="1" ht="10.5">
      <c r="K57" s="399"/>
    </row>
    <row r="58" spans="1:11" s="398" customFormat="1" ht="15.95" customHeight="1">
      <c r="K58" s="399"/>
    </row>
    <row r="59" spans="1:11" s="398" customFormat="1" ht="15.95" customHeight="1">
      <c r="K59" s="399"/>
    </row>
    <row r="60" spans="1:11" s="398" customFormat="1" ht="15.95" customHeight="1">
      <c r="K60" s="399"/>
    </row>
    <row r="61" spans="1:11" s="398" customFormat="1" ht="15.95" customHeight="1">
      <c r="K61" s="399"/>
    </row>
    <row r="62" spans="1:11" s="398" customFormat="1" ht="15.95" customHeight="1">
      <c r="K62" s="399"/>
    </row>
    <row r="63" spans="1:11" s="398" customFormat="1" ht="15.95" customHeight="1">
      <c r="K63" s="399"/>
    </row>
    <row r="64" spans="1:11" s="398" customFormat="1" ht="15.95" customHeight="1">
      <c r="K64" s="399"/>
    </row>
    <row r="65" spans="11:20" s="398" customFormat="1" ht="10.5">
      <c r="K65" s="399"/>
    </row>
    <row r="66" spans="11:20" s="398" customFormat="1" ht="15.95" customHeight="1">
      <c r="K66" s="399"/>
    </row>
    <row r="67" spans="11:20" s="398" customFormat="1" ht="15.95" customHeight="1">
      <c r="K67" s="399"/>
    </row>
    <row r="68" spans="11:20" s="398" customFormat="1" ht="15.95" customHeight="1">
      <c r="K68" s="399"/>
    </row>
    <row r="69" spans="11:20" s="398" customFormat="1" ht="15.95" customHeight="1">
      <c r="K69" s="399"/>
    </row>
    <row r="70" spans="11:20" s="398" customFormat="1" ht="15.95" customHeight="1">
      <c r="K70" s="399"/>
    </row>
    <row r="71" spans="11:20" s="398" customFormat="1" ht="15.95" customHeight="1">
      <c r="K71" s="399"/>
    </row>
    <row r="72" spans="11:20" s="398" customFormat="1" ht="15.95" customHeight="1">
      <c r="T72" s="399"/>
    </row>
    <row r="73" spans="11:20" s="398" customFormat="1" ht="15.95" customHeight="1">
      <c r="T73" s="399"/>
    </row>
    <row r="74" spans="11:20" s="398" customFormat="1" ht="15.95" customHeight="1">
      <c r="T74" s="399"/>
    </row>
    <row r="75" spans="11:20" s="398" customFormat="1" ht="15.95" customHeight="1">
      <c r="T75" s="399"/>
    </row>
    <row r="76" spans="11:20" s="398" customFormat="1" ht="15.95" customHeight="1">
      <c r="T76" s="399"/>
    </row>
    <row r="77" spans="11:20" s="398" customFormat="1" ht="15.95" customHeight="1">
      <c r="T77" s="399"/>
    </row>
    <row r="78" spans="11:20" s="398" customFormat="1" ht="15.95" customHeight="1">
      <c r="T78" s="399"/>
    </row>
    <row r="79" spans="11:20" s="398" customFormat="1" ht="15.95" customHeight="1">
      <c r="T79" s="399"/>
    </row>
    <row r="80" spans="11:20" s="398" customFormat="1" ht="15.95" customHeight="1">
      <c r="T80" s="399"/>
    </row>
    <row r="81" spans="20:20" s="398" customFormat="1" ht="15.95" customHeight="1">
      <c r="T81" s="399"/>
    </row>
    <row r="82" spans="20:20" s="398" customFormat="1" ht="15.95" customHeight="1">
      <c r="T82" s="399"/>
    </row>
    <row r="83" spans="20:20" s="398" customFormat="1" ht="15.95" customHeight="1">
      <c r="T83" s="399"/>
    </row>
    <row r="84" spans="20:20" s="398" customFormat="1" ht="15.95" customHeight="1">
      <c r="T84" s="399"/>
    </row>
    <row r="85" spans="20:20" s="398" customFormat="1" ht="15.95" customHeight="1">
      <c r="T85" s="399"/>
    </row>
    <row r="86" spans="20:20" s="398" customFormat="1" ht="15.95" customHeight="1">
      <c r="T86" s="399"/>
    </row>
    <row r="87" spans="20:20" s="398" customFormat="1" ht="15.95" customHeight="1">
      <c r="T87" s="399"/>
    </row>
    <row r="88" spans="20:20" s="398" customFormat="1" ht="15.95" customHeight="1">
      <c r="T88" s="399"/>
    </row>
    <row r="89" spans="20:20" s="398" customFormat="1" ht="15.95" customHeight="1">
      <c r="T89" s="399"/>
    </row>
    <row r="90" spans="20:20" s="398" customFormat="1" ht="15.95" customHeight="1">
      <c r="T90" s="399"/>
    </row>
    <row r="91" spans="20:20" s="398" customFormat="1" ht="15.95" customHeight="1">
      <c r="T91" s="399"/>
    </row>
    <row r="92" spans="20:20" s="398" customFormat="1" ht="15.95" customHeight="1">
      <c r="T92" s="399"/>
    </row>
    <row r="93" spans="20:20" s="398" customFormat="1" ht="15.95" customHeight="1">
      <c r="T93" s="399"/>
    </row>
    <row r="94" spans="20:20" s="398" customFormat="1" ht="15.95" customHeight="1">
      <c r="T94" s="399"/>
    </row>
    <row r="95" spans="20:20" s="398" customFormat="1" ht="15.95" customHeight="1">
      <c r="T95" s="399"/>
    </row>
    <row r="96" spans="20:20" s="398" customFormat="1" ht="15.95" customHeight="1">
      <c r="T96" s="399"/>
    </row>
    <row r="97" spans="20:20" s="398" customFormat="1" ht="15.95" customHeight="1">
      <c r="T97" s="399"/>
    </row>
    <row r="98" spans="20:20" s="398" customFormat="1" ht="15.95" customHeight="1">
      <c r="T98" s="399"/>
    </row>
    <row r="99" spans="20:20" s="398" customFormat="1" ht="15.95" customHeight="1">
      <c r="T99" s="399"/>
    </row>
    <row r="100" spans="20:20" s="398" customFormat="1" ht="15.95" customHeight="1">
      <c r="T100" s="399"/>
    </row>
    <row r="101" spans="20:20" s="398" customFormat="1" ht="15.95" customHeight="1">
      <c r="T101" s="399"/>
    </row>
    <row r="102" spans="20:20" s="398" customFormat="1" ht="15.95" customHeight="1">
      <c r="T102" s="399"/>
    </row>
    <row r="103" spans="20:20" s="398" customFormat="1" ht="15.95" customHeight="1">
      <c r="T103" s="399"/>
    </row>
    <row r="104" spans="20:20" s="398" customFormat="1" ht="15.95" customHeight="1">
      <c r="T104" s="399"/>
    </row>
    <row r="105" spans="20:20" s="398" customFormat="1" ht="15.95" customHeight="1">
      <c r="T105" s="399"/>
    </row>
    <row r="106" spans="20:20" s="398" customFormat="1" ht="15.95" customHeight="1">
      <c r="T106" s="399"/>
    </row>
    <row r="107" spans="20:20" s="398" customFormat="1" ht="15.95" customHeight="1">
      <c r="T107" s="399"/>
    </row>
    <row r="108" spans="20:20" s="398" customFormat="1" ht="15.95" customHeight="1">
      <c r="T108" s="399"/>
    </row>
    <row r="109" spans="20:20" s="398" customFormat="1" ht="15.95" customHeight="1">
      <c r="T109" s="399"/>
    </row>
    <row r="110" spans="20:20" s="398" customFormat="1" ht="15.95" customHeight="1">
      <c r="T110" s="399"/>
    </row>
    <row r="111" spans="20:20" s="398" customFormat="1" ht="15.95" customHeight="1">
      <c r="T111" s="399"/>
    </row>
    <row r="112" spans="20:20" s="398" customFormat="1" ht="15.95" customHeight="1">
      <c r="T112" s="399"/>
    </row>
    <row r="113" spans="20:20" s="398" customFormat="1" ht="15.95" customHeight="1">
      <c r="T113" s="399"/>
    </row>
    <row r="114" spans="20:20" s="398" customFormat="1" ht="15.95" customHeight="1">
      <c r="T114" s="399"/>
    </row>
    <row r="115" spans="20:20" s="398" customFormat="1" ht="15.95" customHeight="1">
      <c r="T115" s="399"/>
    </row>
    <row r="116" spans="20:20" s="398" customFormat="1" ht="15.95" customHeight="1">
      <c r="T116" s="399"/>
    </row>
    <row r="117" spans="20:20" s="398" customFormat="1" ht="15.95" customHeight="1">
      <c r="T117" s="399"/>
    </row>
    <row r="118" spans="20:20" s="398" customFormat="1" ht="15.95" customHeight="1">
      <c r="T118" s="399"/>
    </row>
    <row r="119" spans="20:20" s="398" customFormat="1" ht="15.95" customHeight="1">
      <c r="T119" s="399"/>
    </row>
    <row r="120" spans="20:20" s="398" customFormat="1" ht="15.95" customHeight="1">
      <c r="T120" s="399"/>
    </row>
    <row r="121" spans="20:20" s="398" customFormat="1" ht="15.95" customHeight="1">
      <c r="T121" s="399"/>
    </row>
    <row r="122" spans="20:20" s="398" customFormat="1" ht="15.95" customHeight="1">
      <c r="T122" s="399"/>
    </row>
    <row r="123" spans="20:20" s="398" customFormat="1" ht="15.95" customHeight="1">
      <c r="T123" s="399"/>
    </row>
    <row r="124" spans="20:20" s="398" customFormat="1" ht="15.95" customHeight="1">
      <c r="T124" s="399"/>
    </row>
    <row r="125" spans="20:20" s="398" customFormat="1" ht="15.95" customHeight="1">
      <c r="T125" s="399"/>
    </row>
    <row r="126" spans="20:20" s="398" customFormat="1" ht="15.95" customHeight="1">
      <c r="T126" s="399"/>
    </row>
    <row r="127" spans="20:20" s="398" customFormat="1" ht="15.95" customHeight="1">
      <c r="T127" s="399"/>
    </row>
    <row r="128" spans="20:20" s="398" customFormat="1" ht="15.95" customHeight="1">
      <c r="T128" s="399"/>
    </row>
    <row r="129" spans="2:20" s="398" customFormat="1" ht="15.95" customHeight="1">
      <c r="T129" s="399"/>
    </row>
    <row r="130" spans="2:20" s="398" customFormat="1" ht="15.95" customHeight="1">
      <c r="T130" s="399"/>
    </row>
    <row r="131" spans="2:20" s="398" customFormat="1" ht="15.95" customHeight="1">
      <c r="T131" s="399"/>
    </row>
    <row r="132" spans="2:20" s="398" customFormat="1" ht="15.95" customHeight="1">
      <c r="T132" s="399"/>
    </row>
    <row r="133" spans="2:20" s="398" customFormat="1" ht="15.95" customHeight="1">
      <c r="T133" s="399"/>
    </row>
    <row r="134" spans="2:20" s="398" customFormat="1" ht="15.95" customHeight="1">
      <c r="T134" s="399"/>
    </row>
    <row r="135" spans="2:20" s="398" customFormat="1" ht="15.95" customHeight="1">
      <c r="T135" s="399"/>
    </row>
    <row r="136" spans="2:20" s="398" customFormat="1" ht="15.95" customHeight="1">
      <c r="T136" s="399"/>
    </row>
    <row r="137" spans="2:20" s="398" customFormat="1" ht="15.95" customHeight="1">
      <c r="T137" s="399"/>
    </row>
    <row r="138" spans="2:20" s="398" customFormat="1" ht="15.95" customHeight="1">
      <c r="T138" s="399"/>
    </row>
    <row r="139" spans="2:20" s="398" customFormat="1" ht="15.95" customHeight="1">
      <c r="T139" s="399"/>
    </row>
    <row r="140" spans="2:20" ht="15.95" customHeight="1">
      <c r="B140" s="398"/>
      <c r="C140" s="398"/>
      <c r="D140" s="398"/>
      <c r="E140" s="398"/>
      <c r="F140" s="398"/>
      <c r="G140" s="398"/>
      <c r="H140" s="398"/>
      <c r="I140" s="398"/>
    </row>
  </sheetData>
  <mergeCells count="51">
    <mergeCell ref="B32:C32"/>
    <mergeCell ref="E32:F32"/>
    <mergeCell ref="E46:F46"/>
    <mergeCell ref="I33:I45"/>
    <mergeCell ref="E33:F33"/>
    <mergeCell ref="E34:F34"/>
    <mergeCell ref="E35:F35"/>
    <mergeCell ref="E36:F36"/>
    <mergeCell ref="E37:F37"/>
    <mergeCell ref="E38:F38"/>
    <mergeCell ref="E44:F44"/>
    <mergeCell ref="E39:F39"/>
    <mergeCell ref="E40:F40"/>
    <mergeCell ref="E41:F41"/>
    <mergeCell ref="E42:F42"/>
    <mergeCell ref="E43:F43"/>
    <mergeCell ref="F4:G4"/>
    <mergeCell ref="F11:G11"/>
    <mergeCell ref="F12:G12"/>
    <mergeCell ref="F13:G13"/>
    <mergeCell ref="F14:G14"/>
    <mergeCell ref="F25:G25"/>
    <mergeCell ref="F18:G18"/>
    <mergeCell ref="F19:G19"/>
    <mergeCell ref="F20:G20"/>
    <mergeCell ref="F21:G21"/>
    <mergeCell ref="F22:G22"/>
    <mergeCell ref="D15:E15"/>
    <mergeCell ref="D22:E22"/>
    <mergeCell ref="D29:E29"/>
    <mergeCell ref="D25:E25"/>
    <mergeCell ref="D26:E26"/>
    <mergeCell ref="D27:E27"/>
    <mergeCell ref="D28:E28"/>
    <mergeCell ref="D21:E21"/>
    <mergeCell ref="B48:K48"/>
    <mergeCell ref="B33:C33"/>
    <mergeCell ref="D4:E4"/>
    <mergeCell ref="D5:E5"/>
    <mergeCell ref="D12:E12"/>
    <mergeCell ref="D6:E6"/>
    <mergeCell ref="D7:E7"/>
    <mergeCell ref="D13:E13"/>
    <mergeCell ref="D14:E14"/>
    <mergeCell ref="D11:E11"/>
    <mergeCell ref="D18:E18"/>
    <mergeCell ref="D19:E19"/>
    <mergeCell ref="D20:E20"/>
    <mergeCell ref="F15:G15"/>
    <mergeCell ref="E45:F45"/>
    <mergeCell ref="D8:E8"/>
  </mergeCells>
  <phoneticPr fontId="2" type="noConversion"/>
  <pageMargins left="0.74803149606299213" right="0.74803149606299213" top="0.78740157480314965" bottom="0.6" header="0.51181102362204722" footer="0.51181102362204722"/>
  <pageSetup paperSize="9" scale="82" fitToHeight="4" orientation="landscape" horizontalDpi="4294967293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W58"/>
  <sheetViews>
    <sheetView view="pageBreakPreview" zoomScale="85" zoomScaleNormal="70" zoomScaleSheetLayoutView="70" workbookViewId="0">
      <selection sqref="A1:XFD1048576"/>
    </sheetView>
  </sheetViews>
  <sheetFormatPr defaultRowHeight="15.95" customHeight="1"/>
  <cols>
    <col min="1" max="1" width="3.21875" style="179" customWidth="1"/>
    <col min="2" max="2" width="25.21875" style="179" customWidth="1"/>
    <col min="3" max="3" width="10.5546875" style="179" customWidth="1"/>
    <col min="4" max="4" width="9.6640625" style="179" customWidth="1"/>
    <col min="5" max="6" width="10.6640625" style="179" customWidth="1"/>
    <col min="7" max="8" width="12.21875" style="179" customWidth="1"/>
    <col min="9" max="9" width="10" style="179" customWidth="1"/>
    <col min="10" max="10" width="9.44140625" style="179" customWidth="1"/>
    <col min="11" max="11" width="8.88671875" style="179" customWidth="1"/>
    <col min="12" max="13" width="8.88671875" style="179"/>
    <col min="14" max="14" width="11.6640625" style="179" customWidth="1"/>
    <col min="15" max="15" width="8.88671875" style="179"/>
    <col min="16" max="16" width="9" style="179" customWidth="1"/>
    <col min="17" max="18" width="7.77734375" style="179" customWidth="1"/>
    <col min="19" max="19" width="6.6640625" style="179" customWidth="1"/>
    <col min="20" max="20" width="15" style="179" customWidth="1"/>
    <col min="21" max="22" width="14.33203125" style="179" customWidth="1"/>
    <col min="23" max="23" width="12.33203125" style="682" customWidth="1"/>
    <col min="24" max="24" width="7.88671875" style="179" customWidth="1"/>
    <col min="25" max="25" width="10.109375" style="179" bestFit="1" customWidth="1"/>
    <col min="26" max="26" width="7.77734375" style="179" customWidth="1"/>
    <col min="27" max="258" width="8.88671875" style="179"/>
    <col min="259" max="259" width="3.21875" style="179" customWidth="1"/>
    <col min="260" max="260" width="25.21875" style="179" customWidth="1"/>
    <col min="261" max="261" width="10.5546875" style="179" customWidth="1"/>
    <col min="262" max="262" width="9.6640625" style="179" customWidth="1"/>
    <col min="263" max="264" width="10.6640625" style="179" customWidth="1"/>
    <col min="265" max="266" width="12.21875" style="179" customWidth="1"/>
    <col min="267" max="267" width="10" style="179" customWidth="1"/>
    <col min="268" max="268" width="7.88671875" style="179" customWidth="1"/>
    <col min="269" max="269" width="7.6640625" style="179" customWidth="1"/>
    <col min="270" max="271" width="8.88671875" style="179"/>
    <col min="272" max="272" width="9" style="179" customWidth="1"/>
    <col min="273" max="274" width="7.77734375" style="179" customWidth="1"/>
    <col min="275" max="275" width="6.6640625" style="179" customWidth="1"/>
    <col min="276" max="276" width="15" style="179" customWidth="1"/>
    <col min="277" max="278" width="14.33203125" style="179" customWidth="1"/>
    <col min="279" max="279" width="12.33203125" style="179" customWidth="1"/>
    <col min="280" max="280" width="7.88671875" style="179" customWidth="1"/>
    <col min="281" max="281" width="10.109375" style="179" bestFit="1" customWidth="1"/>
    <col min="282" max="282" width="7.77734375" style="179" customWidth="1"/>
    <col min="283" max="514" width="8.88671875" style="179"/>
    <col min="515" max="515" width="3.21875" style="179" customWidth="1"/>
    <col min="516" max="516" width="25.21875" style="179" customWidth="1"/>
    <col min="517" max="517" width="10.5546875" style="179" customWidth="1"/>
    <col min="518" max="518" width="9.6640625" style="179" customWidth="1"/>
    <col min="519" max="520" width="10.6640625" style="179" customWidth="1"/>
    <col min="521" max="522" width="12.21875" style="179" customWidth="1"/>
    <col min="523" max="523" width="10" style="179" customWidth="1"/>
    <col min="524" max="524" width="7.88671875" style="179" customWidth="1"/>
    <col min="525" max="525" width="7.6640625" style="179" customWidth="1"/>
    <col min="526" max="527" width="8.88671875" style="179"/>
    <col min="528" max="528" width="9" style="179" customWidth="1"/>
    <col min="529" max="530" width="7.77734375" style="179" customWidth="1"/>
    <col min="531" max="531" width="6.6640625" style="179" customWidth="1"/>
    <col min="532" max="532" width="15" style="179" customWidth="1"/>
    <col min="533" max="534" width="14.33203125" style="179" customWidth="1"/>
    <col min="535" max="535" width="12.33203125" style="179" customWidth="1"/>
    <col min="536" max="536" width="7.88671875" style="179" customWidth="1"/>
    <col min="537" max="537" width="10.109375" style="179" bestFit="1" customWidth="1"/>
    <col min="538" max="538" width="7.77734375" style="179" customWidth="1"/>
    <col min="539" max="770" width="8.88671875" style="179"/>
    <col min="771" max="771" width="3.21875" style="179" customWidth="1"/>
    <col min="772" max="772" width="25.21875" style="179" customWidth="1"/>
    <col min="773" max="773" width="10.5546875" style="179" customWidth="1"/>
    <col min="774" max="774" width="9.6640625" style="179" customWidth="1"/>
    <col min="775" max="776" width="10.6640625" style="179" customWidth="1"/>
    <col min="777" max="778" width="12.21875" style="179" customWidth="1"/>
    <col min="779" max="779" width="10" style="179" customWidth="1"/>
    <col min="780" max="780" width="7.88671875" style="179" customWidth="1"/>
    <col min="781" max="781" width="7.6640625" style="179" customWidth="1"/>
    <col min="782" max="783" width="8.88671875" style="179"/>
    <col min="784" max="784" width="9" style="179" customWidth="1"/>
    <col min="785" max="786" width="7.77734375" style="179" customWidth="1"/>
    <col min="787" max="787" width="6.6640625" style="179" customWidth="1"/>
    <col min="788" max="788" width="15" style="179" customWidth="1"/>
    <col min="789" max="790" width="14.33203125" style="179" customWidth="1"/>
    <col min="791" max="791" width="12.33203125" style="179" customWidth="1"/>
    <col min="792" max="792" width="7.88671875" style="179" customWidth="1"/>
    <col min="793" max="793" width="10.109375" style="179" bestFit="1" customWidth="1"/>
    <col min="794" max="794" width="7.77734375" style="179" customWidth="1"/>
    <col min="795" max="1026" width="8.88671875" style="179"/>
    <col min="1027" max="1027" width="3.21875" style="179" customWidth="1"/>
    <col min="1028" max="1028" width="25.21875" style="179" customWidth="1"/>
    <col min="1029" max="1029" width="10.5546875" style="179" customWidth="1"/>
    <col min="1030" max="1030" width="9.6640625" style="179" customWidth="1"/>
    <col min="1031" max="1032" width="10.6640625" style="179" customWidth="1"/>
    <col min="1033" max="1034" width="12.21875" style="179" customWidth="1"/>
    <col min="1035" max="1035" width="10" style="179" customWidth="1"/>
    <col min="1036" max="1036" width="7.88671875" style="179" customWidth="1"/>
    <col min="1037" max="1037" width="7.6640625" style="179" customWidth="1"/>
    <col min="1038" max="1039" width="8.88671875" style="179"/>
    <col min="1040" max="1040" width="9" style="179" customWidth="1"/>
    <col min="1041" max="1042" width="7.77734375" style="179" customWidth="1"/>
    <col min="1043" max="1043" width="6.6640625" style="179" customWidth="1"/>
    <col min="1044" max="1044" width="15" style="179" customWidth="1"/>
    <col min="1045" max="1046" width="14.33203125" style="179" customWidth="1"/>
    <col min="1047" max="1047" width="12.33203125" style="179" customWidth="1"/>
    <col min="1048" max="1048" width="7.88671875" style="179" customWidth="1"/>
    <col min="1049" max="1049" width="10.109375" style="179" bestFit="1" customWidth="1"/>
    <col min="1050" max="1050" width="7.77734375" style="179" customWidth="1"/>
    <col min="1051" max="1282" width="8.88671875" style="179"/>
    <col min="1283" max="1283" width="3.21875" style="179" customWidth="1"/>
    <col min="1284" max="1284" width="25.21875" style="179" customWidth="1"/>
    <col min="1285" max="1285" width="10.5546875" style="179" customWidth="1"/>
    <col min="1286" max="1286" width="9.6640625" style="179" customWidth="1"/>
    <col min="1287" max="1288" width="10.6640625" style="179" customWidth="1"/>
    <col min="1289" max="1290" width="12.21875" style="179" customWidth="1"/>
    <col min="1291" max="1291" width="10" style="179" customWidth="1"/>
    <col min="1292" max="1292" width="7.88671875" style="179" customWidth="1"/>
    <col min="1293" max="1293" width="7.6640625" style="179" customWidth="1"/>
    <col min="1294" max="1295" width="8.88671875" style="179"/>
    <col min="1296" max="1296" width="9" style="179" customWidth="1"/>
    <col min="1297" max="1298" width="7.77734375" style="179" customWidth="1"/>
    <col min="1299" max="1299" width="6.6640625" style="179" customWidth="1"/>
    <col min="1300" max="1300" width="15" style="179" customWidth="1"/>
    <col min="1301" max="1302" width="14.33203125" style="179" customWidth="1"/>
    <col min="1303" max="1303" width="12.33203125" style="179" customWidth="1"/>
    <col min="1304" max="1304" width="7.88671875" style="179" customWidth="1"/>
    <col min="1305" max="1305" width="10.109375" style="179" bestFit="1" customWidth="1"/>
    <col min="1306" max="1306" width="7.77734375" style="179" customWidth="1"/>
    <col min="1307" max="1538" width="8.88671875" style="179"/>
    <col min="1539" max="1539" width="3.21875" style="179" customWidth="1"/>
    <col min="1540" max="1540" width="25.21875" style="179" customWidth="1"/>
    <col min="1541" max="1541" width="10.5546875" style="179" customWidth="1"/>
    <col min="1542" max="1542" width="9.6640625" style="179" customWidth="1"/>
    <col min="1543" max="1544" width="10.6640625" style="179" customWidth="1"/>
    <col min="1545" max="1546" width="12.21875" style="179" customWidth="1"/>
    <col min="1547" max="1547" width="10" style="179" customWidth="1"/>
    <col min="1548" max="1548" width="7.88671875" style="179" customWidth="1"/>
    <col min="1549" max="1549" width="7.6640625" style="179" customWidth="1"/>
    <col min="1550" max="1551" width="8.88671875" style="179"/>
    <col min="1552" max="1552" width="9" style="179" customWidth="1"/>
    <col min="1553" max="1554" width="7.77734375" style="179" customWidth="1"/>
    <col min="1555" max="1555" width="6.6640625" style="179" customWidth="1"/>
    <col min="1556" max="1556" width="15" style="179" customWidth="1"/>
    <col min="1557" max="1558" width="14.33203125" style="179" customWidth="1"/>
    <col min="1559" max="1559" width="12.33203125" style="179" customWidth="1"/>
    <col min="1560" max="1560" width="7.88671875" style="179" customWidth="1"/>
    <col min="1561" max="1561" width="10.109375" style="179" bestFit="1" customWidth="1"/>
    <col min="1562" max="1562" width="7.77734375" style="179" customWidth="1"/>
    <col min="1563" max="1794" width="8.88671875" style="179"/>
    <col min="1795" max="1795" width="3.21875" style="179" customWidth="1"/>
    <col min="1796" max="1796" width="25.21875" style="179" customWidth="1"/>
    <col min="1797" max="1797" width="10.5546875" style="179" customWidth="1"/>
    <col min="1798" max="1798" width="9.6640625" style="179" customWidth="1"/>
    <col min="1799" max="1800" width="10.6640625" style="179" customWidth="1"/>
    <col min="1801" max="1802" width="12.21875" style="179" customWidth="1"/>
    <col min="1803" max="1803" width="10" style="179" customWidth="1"/>
    <col min="1804" max="1804" width="7.88671875" style="179" customWidth="1"/>
    <col min="1805" max="1805" width="7.6640625" style="179" customWidth="1"/>
    <col min="1806" max="1807" width="8.88671875" style="179"/>
    <col min="1808" max="1808" width="9" style="179" customWidth="1"/>
    <col min="1809" max="1810" width="7.77734375" style="179" customWidth="1"/>
    <col min="1811" max="1811" width="6.6640625" style="179" customWidth="1"/>
    <col min="1812" max="1812" width="15" style="179" customWidth="1"/>
    <col min="1813" max="1814" width="14.33203125" style="179" customWidth="1"/>
    <col min="1815" max="1815" width="12.33203125" style="179" customWidth="1"/>
    <col min="1816" max="1816" width="7.88671875" style="179" customWidth="1"/>
    <col min="1817" max="1817" width="10.109375" style="179" bestFit="1" customWidth="1"/>
    <col min="1818" max="1818" width="7.77734375" style="179" customWidth="1"/>
    <col min="1819" max="2050" width="8.88671875" style="179"/>
    <col min="2051" max="2051" width="3.21875" style="179" customWidth="1"/>
    <col min="2052" max="2052" width="25.21875" style="179" customWidth="1"/>
    <col min="2053" max="2053" width="10.5546875" style="179" customWidth="1"/>
    <col min="2054" max="2054" width="9.6640625" style="179" customWidth="1"/>
    <col min="2055" max="2056" width="10.6640625" style="179" customWidth="1"/>
    <col min="2057" max="2058" width="12.21875" style="179" customWidth="1"/>
    <col min="2059" max="2059" width="10" style="179" customWidth="1"/>
    <col min="2060" max="2060" width="7.88671875" style="179" customWidth="1"/>
    <col min="2061" max="2061" width="7.6640625" style="179" customWidth="1"/>
    <col min="2062" max="2063" width="8.88671875" style="179"/>
    <col min="2064" max="2064" width="9" style="179" customWidth="1"/>
    <col min="2065" max="2066" width="7.77734375" style="179" customWidth="1"/>
    <col min="2067" max="2067" width="6.6640625" style="179" customWidth="1"/>
    <col min="2068" max="2068" width="15" style="179" customWidth="1"/>
    <col min="2069" max="2070" width="14.33203125" style="179" customWidth="1"/>
    <col min="2071" max="2071" width="12.33203125" style="179" customWidth="1"/>
    <col min="2072" max="2072" width="7.88671875" style="179" customWidth="1"/>
    <col min="2073" max="2073" width="10.109375" style="179" bestFit="1" customWidth="1"/>
    <col min="2074" max="2074" width="7.77734375" style="179" customWidth="1"/>
    <col min="2075" max="2306" width="8.88671875" style="179"/>
    <col min="2307" max="2307" width="3.21875" style="179" customWidth="1"/>
    <col min="2308" max="2308" width="25.21875" style="179" customWidth="1"/>
    <col min="2309" max="2309" width="10.5546875" style="179" customWidth="1"/>
    <col min="2310" max="2310" width="9.6640625" style="179" customWidth="1"/>
    <col min="2311" max="2312" width="10.6640625" style="179" customWidth="1"/>
    <col min="2313" max="2314" width="12.21875" style="179" customWidth="1"/>
    <col min="2315" max="2315" width="10" style="179" customWidth="1"/>
    <col min="2316" max="2316" width="7.88671875" style="179" customWidth="1"/>
    <col min="2317" max="2317" width="7.6640625" style="179" customWidth="1"/>
    <col min="2318" max="2319" width="8.88671875" style="179"/>
    <col min="2320" max="2320" width="9" style="179" customWidth="1"/>
    <col min="2321" max="2322" width="7.77734375" style="179" customWidth="1"/>
    <col min="2323" max="2323" width="6.6640625" style="179" customWidth="1"/>
    <col min="2324" max="2324" width="15" style="179" customWidth="1"/>
    <col min="2325" max="2326" width="14.33203125" style="179" customWidth="1"/>
    <col min="2327" max="2327" width="12.33203125" style="179" customWidth="1"/>
    <col min="2328" max="2328" width="7.88671875" style="179" customWidth="1"/>
    <col min="2329" max="2329" width="10.109375" style="179" bestFit="1" customWidth="1"/>
    <col min="2330" max="2330" width="7.77734375" style="179" customWidth="1"/>
    <col min="2331" max="2562" width="8.88671875" style="179"/>
    <col min="2563" max="2563" width="3.21875" style="179" customWidth="1"/>
    <col min="2564" max="2564" width="25.21875" style="179" customWidth="1"/>
    <col min="2565" max="2565" width="10.5546875" style="179" customWidth="1"/>
    <col min="2566" max="2566" width="9.6640625" style="179" customWidth="1"/>
    <col min="2567" max="2568" width="10.6640625" style="179" customWidth="1"/>
    <col min="2569" max="2570" width="12.21875" style="179" customWidth="1"/>
    <col min="2571" max="2571" width="10" style="179" customWidth="1"/>
    <col min="2572" max="2572" width="7.88671875" style="179" customWidth="1"/>
    <col min="2573" max="2573" width="7.6640625" style="179" customWidth="1"/>
    <col min="2574" max="2575" width="8.88671875" style="179"/>
    <col min="2576" max="2576" width="9" style="179" customWidth="1"/>
    <col min="2577" max="2578" width="7.77734375" style="179" customWidth="1"/>
    <col min="2579" max="2579" width="6.6640625" style="179" customWidth="1"/>
    <col min="2580" max="2580" width="15" style="179" customWidth="1"/>
    <col min="2581" max="2582" width="14.33203125" style="179" customWidth="1"/>
    <col min="2583" max="2583" width="12.33203125" style="179" customWidth="1"/>
    <col min="2584" max="2584" width="7.88671875" style="179" customWidth="1"/>
    <col min="2585" max="2585" width="10.109375" style="179" bestFit="1" customWidth="1"/>
    <col min="2586" max="2586" width="7.77734375" style="179" customWidth="1"/>
    <col min="2587" max="2818" width="8.88671875" style="179"/>
    <col min="2819" max="2819" width="3.21875" style="179" customWidth="1"/>
    <col min="2820" max="2820" width="25.21875" style="179" customWidth="1"/>
    <col min="2821" max="2821" width="10.5546875" style="179" customWidth="1"/>
    <col min="2822" max="2822" width="9.6640625" style="179" customWidth="1"/>
    <col min="2823" max="2824" width="10.6640625" style="179" customWidth="1"/>
    <col min="2825" max="2826" width="12.21875" style="179" customWidth="1"/>
    <col min="2827" max="2827" width="10" style="179" customWidth="1"/>
    <col min="2828" max="2828" width="7.88671875" style="179" customWidth="1"/>
    <col min="2829" max="2829" width="7.6640625" style="179" customWidth="1"/>
    <col min="2830" max="2831" width="8.88671875" style="179"/>
    <col min="2832" max="2832" width="9" style="179" customWidth="1"/>
    <col min="2833" max="2834" width="7.77734375" style="179" customWidth="1"/>
    <col min="2835" max="2835" width="6.6640625" style="179" customWidth="1"/>
    <col min="2836" max="2836" width="15" style="179" customWidth="1"/>
    <col min="2837" max="2838" width="14.33203125" style="179" customWidth="1"/>
    <col min="2839" max="2839" width="12.33203125" style="179" customWidth="1"/>
    <col min="2840" max="2840" width="7.88671875" style="179" customWidth="1"/>
    <col min="2841" max="2841" width="10.109375" style="179" bestFit="1" customWidth="1"/>
    <col min="2842" max="2842" width="7.77734375" style="179" customWidth="1"/>
    <col min="2843" max="3074" width="8.88671875" style="179"/>
    <col min="3075" max="3075" width="3.21875" style="179" customWidth="1"/>
    <col min="3076" max="3076" width="25.21875" style="179" customWidth="1"/>
    <col min="3077" max="3077" width="10.5546875" style="179" customWidth="1"/>
    <col min="3078" max="3078" width="9.6640625" style="179" customWidth="1"/>
    <col min="3079" max="3080" width="10.6640625" style="179" customWidth="1"/>
    <col min="3081" max="3082" width="12.21875" style="179" customWidth="1"/>
    <col min="3083" max="3083" width="10" style="179" customWidth="1"/>
    <col min="3084" max="3084" width="7.88671875" style="179" customWidth="1"/>
    <col min="3085" max="3085" width="7.6640625" style="179" customWidth="1"/>
    <col min="3086" max="3087" width="8.88671875" style="179"/>
    <col min="3088" max="3088" width="9" style="179" customWidth="1"/>
    <col min="3089" max="3090" width="7.77734375" style="179" customWidth="1"/>
    <col min="3091" max="3091" width="6.6640625" style="179" customWidth="1"/>
    <col min="3092" max="3092" width="15" style="179" customWidth="1"/>
    <col min="3093" max="3094" width="14.33203125" style="179" customWidth="1"/>
    <col min="3095" max="3095" width="12.33203125" style="179" customWidth="1"/>
    <col min="3096" max="3096" width="7.88671875" style="179" customWidth="1"/>
    <col min="3097" max="3097" width="10.109375" style="179" bestFit="1" customWidth="1"/>
    <col min="3098" max="3098" width="7.77734375" style="179" customWidth="1"/>
    <col min="3099" max="3330" width="8.88671875" style="179"/>
    <col min="3331" max="3331" width="3.21875" style="179" customWidth="1"/>
    <col min="3332" max="3332" width="25.21875" style="179" customWidth="1"/>
    <col min="3333" max="3333" width="10.5546875" style="179" customWidth="1"/>
    <col min="3334" max="3334" width="9.6640625" style="179" customWidth="1"/>
    <col min="3335" max="3336" width="10.6640625" style="179" customWidth="1"/>
    <col min="3337" max="3338" width="12.21875" style="179" customWidth="1"/>
    <col min="3339" max="3339" width="10" style="179" customWidth="1"/>
    <col min="3340" max="3340" width="7.88671875" style="179" customWidth="1"/>
    <col min="3341" max="3341" width="7.6640625" style="179" customWidth="1"/>
    <col min="3342" max="3343" width="8.88671875" style="179"/>
    <col min="3344" max="3344" width="9" style="179" customWidth="1"/>
    <col min="3345" max="3346" width="7.77734375" style="179" customWidth="1"/>
    <col min="3347" max="3347" width="6.6640625" style="179" customWidth="1"/>
    <col min="3348" max="3348" width="15" style="179" customWidth="1"/>
    <col min="3349" max="3350" width="14.33203125" style="179" customWidth="1"/>
    <col min="3351" max="3351" width="12.33203125" style="179" customWidth="1"/>
    <col min="3352" max="3352" width="7.88671875" style="179" customWidth="1"/>
    <col min="3353" max="3353" width="10.109375" style="179" bestFit="1" customWidth="1"/>
    <col min="3354" max="3354" width="7.77734375" style="179" customWidth="1"/>
    <col min="3355" max="3586" width="8.88671875" style="179"/>
    <col min="3587" max="3587" width="3.21875" style="179" customWidth="1"/>
    <col min="3588" max="3588" width="25.21875" style="179" customWidth="1"/>
    <col min="3589" max="3589" width="10.5546875" style="179" customWidth="1"/>
    <col min="3590" max="3590" width="9.6640625" style="179" customWidth="1"/>
    <col min="3591" max="3592" width="10.6640625" style="179" customWidth="1"/>
    <col min="3593" max="3594" width="12.21875" style="179" customWidth="1"/>
    <col min="3595" max="3595" width="10" style="179" customWidth="1"/>
    <col min="3596" max="3596" width="7.88671875" style="179" customWidth="1"/>
    <col min="3597" max="3597" width="7.6640625" style="179" customWidth="1"/>
    <col min="3598" max="3599" width="8.88671875" style="179"/>
    <col min="3600" max="3600" width="9" style="179" customWidth="1"/>
    <col min="3601" max="3602" width="7.77734375" style="179" customWidth="1"/>
    <col min="3603" max="3603" width="6.6640625" style="179" customWidth="1"/>
    <col min="3604" max="3604" width="15" style="179" customWidth="1"/>
    <col min="3605" max="3606" width="14.33203125" style="179" customWidth="1"/>
    <col min="3607" max="3607" width="12.33203125" style="179" customWidth="1"/>
    <col min="3608" max="3608" width="7.88671875" style="179" customWidth="1"/>
    <col min="3609" max="3609" width="10.109375" style="179" bestFit="1" customWidth="1"/>
    <col min="3610" max="3610" width="7.77734375" style="179" customWidth="1"/>
    <col min="3611" max="3842" width="8.88671875" style="179"/>
    <col min="3843" max="3843" width="3.21875" style="179" customWidth="1"/>
    <col min="3844" max="3844" width="25.21875" style="179" customWidth="1"/>
    <col min="3845" max="3845" width="10.5546875" style="179" customWidth="1"/>
    <col min="3846" max="3846" width="9.6640625" style="179" customWidth="1"/>
    <col min="3847" max="3848" width="10.6640625" style="179" customWidth="1"/>
    <col min="3849" max="3850" width="12.21875" style="179" customWidth="1"/>
    <col min="3851" max="3851" width="10" style="179" customWidth="1"/>
    <col min="3852" max="3852" width="7.88671875" style="179" customWidth="1"/>
    <col min="3853" max="3853" width="7.6640625" style="179" customWidth="1"/>
    <col min="3854" max="3855" width="8.88671875" style="179"/>
    <col min="3856" max="3856" width="9" style="179" customWidth="1"/>
    <col min="3857" max="3858" width="7.77734375" style="179" customWidth="1"/>
    <col min="3859" max="3859" width="6.6640625" style="179" customWidth="1"/>
    <col min="3860" max="3860" width="15" style="179" customWidth="1"/>
    <col min="3861" max="3862" width="14.33203125" style="179" customWidth="1"/>
    <col min="3863" max="3863" width="12.33203125" style="179" customWidth="1"/>
    <col min="3864" max="3864" width="7.88671875" style="179" customWidth="1"/>
    <col min="3865" max="3865" width="10.109375" style="179" bestFit="1" customWidth="1"/>
    <col min="3866" max="3866" width="7.77734375" style="179" customWidth="1"/>
    <col min="3867" max="4098" width="8.88671875" style="179"/>
    <col min="4099" max="4099" width="3.21875" style="179" customWidth="1"/>
    <col min="4100" max="4100" width="25.21875" style="179" customWidth="1"/>
    <col min="4101" max="4101" width="10.5546875" style="179" customWidth="1"/>
    <col min="4102" max="4102" width="9.6640625" style="179" customWidth="1"/>
    <col min="4103" max="4104" width="10.6640625" style="179" customWidth="1"/>
    <col min="4105" max="4106" width="12.21875" style="179" customWidth="1"/>
    <col min="4107" max="4107" width="10" style="179" customWidth="1"/>
    <col min="4108" max="4108" width="7.88671875" style="179" customWidth="1"/>
    <col min="4109" max="4109" width="7.6640625" style="179" customWidth="1"/>
    <col min="4110" max="4111" width="8.88671875" style="179"/>
    <col min="4112" max="4112" width="9" style="179" customWidth="1"/>
    <col min="4113" max="4114" width="7.77734375" style="179" customWidth="1"/>
    <col min="4115" max="4115" width="6.6640625" style="179" customWidth="1"/>
    <col min="4116" max="4116" width="15" style="179" customWidth="1"/>
    <col min="4117" max="4118" width="14.33203125" style="179" customWidth="1"/>
    <col min="4119" max="4119" width="12.33203125" style="179" customWidth="1"/>
    <col min="4120" max="4120" width="7.88671875" style="179" customWidth="1"/>
    <col min="4121" max="4121" width="10.109375" style="179" bestFit="1" customWidth="1"/>
    <col min="4122" max="4122" width="7.77734375" style="179" customWidth="1"/>
    <col min="4123" max="4354" width="8.88671875" style="179"/>
    <col min="4355" max="4355" width="3.21875" style="179" customWidth="1"/>
    <col min="4356" max="4356" width="25.21875" style="179" customWidth="1"/>
    <col min="4357" max="4357" width="10.5546875" style="179" customWidth="1"/>
    <col min="4358" max="4358" width="9.6640625" style="179" customWidth="1"/>
    <col min="4359" max="4360" width="10.6640625" style="179" customWidth="1"/>
    <col min="4361" max="4362" width="12.21875" style="179" customWidth="1"/>
    <col min="4363" max="4363" width="10" style="179" customWidth="1"/>
    <col min="4364" max="4364" width="7.88671875" style="179" customWidth="1"/>
    <col min="4365" max="4365" width="7.6640625" style="179" customWidth="1"/>
    <col min="4366" max="4367" width="8.88671875" style="179"/>
    <col min="4368" max="4368" width="9" style="179" customWidth="1"/>
    <col min="4369" max="4370" width="7.77734375" style="179" customWidth="1"/>
    <col min="4371" max="4371" width="6.6640625" style="179" customWidth="1"/>
    <col min="4372" max="4372" width="15" style="179" customWidth="1"/>
    <col min="4373" max="4374" width="14.33203125" style="179" customWidth="1"/>
    <col min="4375" max="4375" width="12.33203125" style="179" customWidth="1"/>
    <col min="4376" max="4376" width="7.88671875" style="179" customWidth="1"/>
    <col min="4377" max="4377" width="10.109375" style="179" bestFit="1" customWidth="1"/>
    <col min="4378" max="4378" width="7.77734375" style="179" customWidth="1"/>
    <col min="4379" max="4610" width="8.88671875" style="179"/>
    <col min="4611" max="4611" width="3.21875" style="179" customWidth="1"/>
    <col min="4612" max="4612" width="25.21875" style="179" customWidth="1"/>
    <col min="4613" max="4613" width="10.5546875" style="179" customWidth="1"/>
    <col min="4614" max="4614" width="9.6640625" style="179" customWidth="1"/>
    <col min="4615" max="4616" width="10.6640625" style="179" customWidth="1"/>
    <col min="4617" max="4618" width="12.21875" style="179" customWidth="1"/>
    <col min="4619" max="4619" width="10" style="179" customWidth="1"/>
    <col min="4620" max="4620" width="7.88671875" style="179" customWidth="1"/>
    <col min="4621" max="4621" width="7.6640625" style="179" customWidth="1"/>
    <col min="4622" max="4623" width="8.88671875" style="179"/>
    <col min="4624" max="4624" width="9" style="179" customWidth="1"/>
    <col min="4625" max="4626" width="7.77734375" style="179" customWidth="1"/>
    <col min="4627" max="4627" width="6.6640625" style="179" customWidth="1"/>
    <col min="4628" max="4628" width="15" style="179" customWidth="1"/>
    <col min="4629" max="4630" width="14.33203125" style="179" customWidth="1"/>
    <col min="4631" max="4631" width="12.33203125" style="179" customWidth="1"/>
    <col min="4632" max="4632" width="7.88671875" style="179" customWidth="1"/>
    <col min="4633" max="4633" width="10.109375" style="179" bestFit="1" customWidth="1"/>
    <col min="4634" max="4634" width="7.77734375" style="179" customWidth="1"/>
    <col min="4635" max="4866" width="8.88671875" style="179"/>
    <col min="4867" max="4867" width="3.21875" style="179" customWidth="1"/>
    <col min="4868" max="4868" width="25.21875" style="179" customWidth="1"/>
    <col min="4869" max="4869" width="10.5546875" style="179" customWidth="1"/>
    <col min="4870" max="4870" width="9.6640625" style="179" customWidth="1"/>
    <col min="4871" max="4872" width="10.6640625" style="179" customWidth="1"/>
    <col min="4873" max="4874" width="12.21875" style="179" customWidth="1"/>
    <col min="4875" max="4875" width="10" style="179" customWidth="1"/>
    <col min="4876" max="4876" width="7.88671875" style="179" customWidth="1"/>
    <col min="4877" max="4877" width="7.6640625" style="179" customWidth="1"/>
    <col min="4878" max="4879" width="8.88671875" style="179"/>
    <col min="4880" max="4880" width="9" style="179" customWidth="1"/>
    <col min="4881" max="4882" width="7.77734375" style="179" customWidth="1"/>
    <col min="4883" max="4883" width="6.6640625" style="179" customWidth="1"/>
    <col min="4884" max="4884" width="15" style="179" customWidth="1"/>
    <col min="4885" max="4886" width="14.33203125" style="179" customWidth="1"/>
    <col min="4887" max="4887" width="12.33203125" style="179" customWidth="1"/>
    <col min="4888" max="4888" width="7.88671875" style="179" customWidth="1"/>
    <col min="4889" max="4889" width="10.109375" style="179" bestFit="1" customWidth="1"/>
    <col min="4890" max="4890" width="7.77734375" style="179" customWidth="1"/>
    <col min="4891" max="5122" width="8.88671875" style="179"/>
    <col min="5123" max="5123" width="3.21875" style="179" customWidth="1"/>
    <col min="5124" max="5124" width="25.21875" style="179" customWidth="1"/>
    <col min="5125" max="5125" width="10.5546875" style="179" customWidth="1"/>
    <col min="5126" max="5126" width="9.6640625" style="179" customWidth="1"/>
    <col min="5127" max="5128" width="10.6640625" style="179" customWidth="1"/>
    <col min="5129" max="5130" width="12.21875" style="179" customWidth="1"/>
    <col min="5131" max="5131" width="10" style="179" customWidth="1"/>
    <col min="5132" max="5132" width="7.88671875" style="179" customWidth="1"/>
    <col min="5133" max="5133" width="7.6640625" style="179" customWidth="1"/>
    <col min="5134" max="5135" width="8.88671875" style="179"/>
    <col min="5136" max="5136" width="9" style="179" customWidth="1"/>
    <col min="5137" max="5138" width="7.77734375" style="179" customWidth="1"/>
    <col min="5139" max="5139" width="6.6640625" style="179" customWidth="1"/>
    <col min="5140" max="5140" width="15" style="179" customWidth="1"/>
    <col min="5141" max="5142" width="14.33203125" style="179" customWidth="1"/>
    <col min="5143" max="5143" width="12.33203125" style="179" customWidth="1"/>
    <col min="5144" max="5144" width="7.88671875" style="179" customWidth="1"/>
    <col min="5145" max="5145" width="10.109375" style="179" bestFit="1" customWidth="1"/>
    <col min="5146" max="5146" width="7.77734375" style="179" customWidth="1"/>
    <col min="5147" max="5378" width="8.88671875" style="179"/>
    <col min="5379" max="5379" width="3.21875" style="179" customWidth="1"/>
    <col min="5380" max="5380" width="25.21875" style="179" customWidth="1"/>
    <col min="5381" max="5381" width="10.5546875" style="179" customWidth="1"/>
    <col min="5382" max="5382" width="9.6640625" style="179" customWidth="1"/>
    <col min="5383" max="5384" width="10.6640625" style="179" customWidth="1"/>
    <col min="5385" max="5386" width="12.21875" style="179" customWidth="1"/>
    <col min="5387" max="5387" width="10" style="179" customWidth="1"/>
    <col min="5388" max="5388" width="7.88671875" style="179" customWidth="1"/>
    <col min="5389" max="5389" width="7.6640625" style="179" customWidth="1"/>
    <col min="5390" max="5391" width="8.88671875" style="179"/>
    <col min="5392" max="5392" width="9" style="179" customWidth="1"/>
    <col min="5393" max="5394" width="7.77734375" style="179" customWidth="1"/>
    <col min="5395" max="5395" width="6.6640625" style="179" customWidth="1"/>
    <col min="5396" max="5396" width="15" style="179" customWidth="1"/>
    <col min="5397" max="5398" width="14.33203125" style="179" customWidth="1"/>
    <col min="5399" max="5399" width="12.33203125" style="179" customWidth="1"/>
    <col min="5400" max="5400" width="7.88671875" style="179" customWidth="1"/>
    <col min="5401" max="5401" width="10.109375" style="179" bestFit="1" customWidth="1"/>
    <col min="5402" max="5402" width="7.77734375" style="179" customWidth="1"/>
    <col min="5403" max="5634" width="8.88671875" style="179"/>
    <col min="5635" max="5635" width="3.21875" style="179" customWidth="1"/>
    <col min="5636" max="5636" width="25.21875" style="179" customWidth="1"/>
    <col min="5637" max="5637" width="10.5546875" style="179" customWidth="1"/>
    <col min="5638" max="5638" width="9.6640625" style="179" customWidth="1"/>
    <col min="5639" max="5640" width="10.6640625" style="179" customWidth="1"/>
    <col min="5641" max="5642" width="12.21875" style="179" customWidth="1"/>
    <col min="5643" max="5643" width="10" style="179" customWidth="1"/>
    <col min="5644" max="5644" width="7.88671875" style="179" customWidth="1"/>
    <col min="5645" max="5645" width="7.6640625" style="179" customWidth="1"/>
    <col min="5646" max="5647" width="8.88671875" style="179"/>
    <col min="5648" max="5648" width="9" style="179" customWidth="1"/>
    <col min="5649" max="5650" width="7.77734375" style="179" customWidth="1"/>
    <col min="5651" max="5651" width="6.6640625" style="179" customWidth="1"/>
    <col min="5652" max="5652" width="15" style="179" customWidth="1"/>
    <col min="5653" max="5654" width="14.33203125" style="179" customWidth="1"/>
    <col min="5655" max="5655" width="12.33203125" style="179" customWidth="1"/>
    <col min="5656" max="5656" width="7.88671875" style="179" customWidth="1"/>
    <col min="5657" max="5657" width="10.109375" style="179" bestFit="1" customWidth="1"/>
    <col min="5658" max="5658" width="7.77734375" style="179" customWidth="1"/>
    <col min="5659" max="5890" width="8.88671875" style="179"/>
    <col min="5891" max="5891" width="3.21875" style="179" customWidth="1"/>
    <col min="5892" max="5892" width="25.21875" style="179" customWidth="1"/>
    <col min="5893" max="5893" width="10.5546875" style="179" customWidth="1"/>
    <col min="5894" max="5894" width="9.6640625" style="179" customWidth="1"/>
    <col min="5895" max="5896" width="10.6640625" style="179" customWidth="1"/>
    <col min="5897" max="5898" width="12.21875" style="179" customWidth="1"/>
    <col min="5899" max="5899" width="10" style="179" customWidth="1"/>
    <col min="5900" max="5900" width="7.88671875" style="179" customWidth="1"/>
    <col min="5901" max="5901" width="7.6640625" style="179" customWidth="1"/>
    <col min="5902" max="5903" width="8.88671875" style="179"/>
    <col min="5904" max="5904" width="9" style="179" customWidth="1"/>
    <col min="5905" max="5906" width="7.77734375" style="179" customWidth="1"/>
    <col min="5907" max="5907" width="6.6640625" style="179" customWidth="1"/>
    <col min="5908" max="5908" width="15" style="179" customWidth="1"/>
    <col min="5909" max="5910" width="14.33203125" style="179" customWidth="1"/>
    <col min="5911" max="5911" width="12.33203125" style="179" customWidth="1"/>
    <col min="5912" max="5912" width="7.88671875" style="179" customWidth="1"/>
    <col min="5913" max="5913" width="10.109375" style="179" bestFit="1" customWidth="1"/>
    <col min="5914" max="5914" width="7.77734375" style="179" customWidth="1"/>
    <col min="5915" max="6146" width="8.88671875" style="179"/>
    <col min="6147" max="6147" width="3.21875" style="179" customWidth="1"/>
    <col min="6148" max="6148" width="25.21875" style="179" customWidth="1"/>
    <col min="6149" max="6149" width="10.5546875" style="179" customWidth="1"/>
    <col min="6150" max="6150" width="9.6640625" style="179" customWidth="1"/>
    <col min="6151" max="6152" width="10.6640625" style="179" customWidth="1"/>
    <col min="6153" max="6154" width="12.21875" style="179" customWidth="1"/>
    <col min="6155" max="6155" width="10" style="179" customWidth="1"/>
    <col min="6156" max="6156" width="7.88671875" style="179" customWidth="1"/>
    <col min="6157" max="6157" width="7.6640625" style="179" customWidth="1"/>
    <col min="6158" max="6159" width="8.88671875" style="179"/>
    <col min="6160" max="6160" width="9" style="179" customWidth="1"/>
    <col min="6161" max="6162" width="7.77734375" style="179" customWidth="1"/>
    <col min="6163" max="6163" width="6.6640625" style="179" customWidth="1"/>
    <col min="6164" max="6164" width="15" style="179" customWidth="1"/>
    <col min="6165" max="6166" width="14.33203125" style="179" customWidth="1"/>
    <col min="6167" max="6167" width="12.33203125" style="179" customWidth="1"/>
    <col min="6168" max="6168" width="7.88671875" style="179" customWidth="1"/>
    <col min="6169" max="6169" width="10.109375" style="179" bestFit="1" customWidth="1"/>
    <col min="6170" max="6170" width="7.77734375" style="179" customWidth="1"/>
    <col min="6171" max="6402" width="8.88671875" style="179"/>
    <col min="6403" max="6403" width="3.21875" style="179" customWidth="1"/>
    <col min="6404" max="6404" width="25.21875" style="179" customWidth="1"/>
    <col min="6405" max="6405" width="10.5546875" style="179" customWidth="1"/>
    <col min="6406" max="6406" width="9.6640625" style="179" customWidth="1"/>
    <col min="6407" max="6408" width="10.6640625" style="179" customWidth="1"/>
    <col min="6409" max="6410" width="12.21875" style="179" customWidth="1"/>
    <col min="6411" max="6411" width="10" style="179" customWidth="1"/>
    <col min="6412" max="6412" width="7.88671875" style="179" customWidth="1"/>
    <col min="6413" max="6413" width="7.6640625" style="179" customWidth="1"/>
    <col min="6414" max="6415" width="8.88671875" style="179"/>
    <col min="6416" max="6416" width="9" style="179" customWidth="1"/>
    <col min="6417" max="6418" width="7.77734375" style="179" customWidth="1"/>
    <col min="6419" max="6419" width="6.6640625" style="179" customWidth="1"/>
    <col min="6420" max="6420" width="15" style="179" customWidth="1"/>
    <col min="6421" max="6422" width="14.33203125" style="179" customWidth="1"/>
    <col min="6423" max="6423" width="12.33203125" style="179" customWidth="1"/>
    <col min="6424" max="6424" width="7.88671875" style="179" customWidth="1"/>
    <col min="6425" max="6425" width="10.109375" style="179" bestFit="1" customWidth="1"/>
    <col min="6426" max="6426" width="7.77734375" style="179" customWidth="1"/>
    <col min="6427" max="6658" width="8.88671875" style="179"/>
    <col min="6659" max="6659" width="3.21875" style="179" customWidth="1"/>
    <col min="6660" max="6660" width="25.21875" style="179" customWidth="1"/>
    <col min="6661" max="6661" width="10.5546875" style="179" customWidth="1"/>
    <col min="6662" max="6662" width="9.6640625" style="179" customWidth="1"/>
    <col min="6663" max="6664" width="10.6640625" style="179" customWidth="1"/>
    <col min="6665" max="6666" width="12.21875" style="179" customWidth="1"/>
    <col min="6667" max="6667" width="10" style="179" customWidth="1"/>
    <col min="6668" max="6668" width="7.88671875" style="179" customWidth="1"/>
    <col min="6669" max="6669" width="7.6640625" style="179" customWidth="1"/>
    <col min="6670" max="6671" width="8.88671875" style="179"/>
    <col min="6672" max="6672" width="9" style="179" customWidth="1"/>
    <col min="6673" max="6674" width="7.77734375" style="179" customWidth="1"/>
    <col min="6675" max="6675" width="6.6640625" style="179" customWidth="1"/>
    <col min="6676" max="6676" width="15" style="179" customWidth="1"/>
    <col min="6677" max="6678" width="14.33203125" style="179" customWidth="1"/>
    <col min="6679" max="6679" width="12.33203125" style="179" customWidth="1"/>
    <col min="6680" max="6680" width="7.88671875" style="179" customWidth="1"/>
    <col min="6681" max="6681" width="10.109375" style="179" bestFit="1" customWidth="1"/>
    <col min="6682" max="6682" width="7.77734375" style="179" customWidth="1"/>
    <col min="6683" max="6914" width="8.88671875" style="179"/>
    <col min="6915" max="6915" width="3.21875" style="179" customWidth="1"/>
    <col min="6916" max="6916" width="25.21875" style="179" customWidth="1"/>
    <col min="6917" max="6917" width="10.5546875" style="179" customWidth="1"/>
    <col min="6918" max="6918" width="9.6640625" style="179" customWidth="1"/>
    <col min="6919" max="6920" width="10.6640625" style="179" customWidth="1"/>
    <col min="6921" max="6922" width="12.21875" style="179" customWidth="1"/>
    <col min="6923" max="6923" width="10" style="179" customWidth="1"/>
    <col min="6924" max="6924" width="7.88671875" style="179" customWidth="1"/>
    <col min="6925" max="6925" width="7.6640625" style="179" customWidth="1"/>
    <col min="6926" max="6927" width="8.88671875" style="179"/>
    <col min="6928" max="6928" width="9" style="179" customWidth="1"/>
    <col min="6929" max="6930" width="7.77734375" style="179" customWidth="1"/>
    <col min="6931" max="6931" width="6.6640625" style="179" customWidth="1"/>
    <col min="6932" max="6932" width="15" style="179" customWidth="1"/>
    <col min="6933" max="6934" width="14.33203125" style="179" customWidth="1"/>
    <col min="6935" max="6935" width="12.33203125" style="179" customWidth="1"/>
    <col min="6936" max="6936" width="7.88671875" style="179" customWidth="1"/>
    <col min="6937" max="6937" width="10.109375" style="179" bestFit="1" customWidth="1"/>
    <col min="6938" max="6938" width="7.77734375" style="179" customWidth="1"/>
    <col min="6939" max="7170" width="8.88671875" style="179"/>
    <col min="7171" max="7171" width="3.21875" style="179" customWidth="1"/>
    <col min="7172" max="7172" width="25.21875" style="179" customWidth="1"/>
    <col min="7173" max="7173" width="10.5546875" style="179" customWidth="1"/>
    <col min="7174" max="7174" width="9.6640625" style="179" customWidth="1"/>
    <col min="7175" max="7176" width="10.6640625" style="179" customWidth="1"/>
    <col min="7177" max="7178" width="12.21875" style="179" customWidth="1"/>
    <col min="7179" max="7179" width="10" style="179" customWidth="1"/>
    <col min="7180" max="7180" width="7.88671875" style="179" customWidth="1"/>
    <col min="7181" max="7181" width="7.6640625" style="179" customWidth="1"/>
    <col min="7182" max="7183" width="8.88671875" style="179"/>
    <col min="7184" max="7184" width="9" style="179" customWidth="1"/>
    <col min="7185" max="7186" width="7.77734375" style="179" customWidth="1"/>
    <col min="7187" max="7187" width="6.6640625" style="179" customWidth="1"/>
    <col min="7188" max="7188" width="15" style="179" customWidth="1"/>
    <col min="7189" max="7190" width="14.33203125" style="179" customWidth="1"/>
    <col min="7191" max="7191" width="12.33203125" style="179" customWidth="1"/>
    <col min="7192" max="7192" width="7.88671875" style="179" customWidth="1"/>
    <col min="7193" max="7193" width="10.109375" style="179" bestFit="1" customWidth="1"/>
    <col min="7194" max="7194" width="7.77734375" style="179" customWidth="1"/>
    <col min="7195" max="7426" width="8.88671875" style="179"/>
    <col min="7427" max="7427" width="3.21875" style="179" customWidth="1"/>
    <col min="7428" max="7428" width="25.21875" style="179" customWidth="1"/>
    <col min="7429" max="7429" width="10.5546875" style="179" customWidth="1"/>
    <col min="7430" max="7430" width="9.6640625" style="179" customWidth="1"/>
    <col min="7431" max="7432" width="10.6640625" style="179" customWidth="1"/>
    <col min="7433" max="7434" width="12.21875" style="179" customWidth="1"/>
    <col min="7435" max="7435" width="10" style="179" customWidth="1"/>
    <col min="7436" max="7436" width="7.88671875" style="179" customWidth="1"/>
    <col min="7437" max="7437" width="7.6640625" style="179" customWidth="1"/>
    <col min="7438" max="7439" width="8.88671875" style="179"/>
    <col min="7440" max="7440" width="9" style="179" customWidth="1"/>
    <col min="7441" max="7442" width="7.77734375" style="179" customWidth="1"/>
    <col min="7443" max="7443" width="6.6640625" style="179" customWidth="1"/>
    <col min="7444" max="7444" width="15" style="179" customWidth="1"/>
    <col min="7445" max="7446" width="14.33203125" style="179" customWidth="1"/>
    <col min="7447" max="7447" width="12.33203125" style="179" customWidth="1"/>
    <col min="7448" max="7448" width="7.88671875" style="179" customWidth="1"/>
    <col min="7449" max="7449" width="10.109375" style="179" bestFit="1" customWidth="1"/>
    <col min="7450" max="7450" width="7.77734375" style="179" customWidth="1"/>
    <col min="7451" max="7682" width="8.88671875" style="179"/>
    <col min="7683" max="7683" width="3.21875" style="179" customWidth="1"/>
    <col min="7684" max="7684" width="25.21875" style="179" customWidth="1"/>
    <col min="7685" max="7685" width="10.5546875" style="179" customWidth="1"/>
    <col min="7686" max="7686" width="9.6640625" style="179" customWidth="1"/>
    <col min="7687" max="7688" width="10.6640625" style="179" customWidth="1"/>
    <col min="7689" max="7690" width="12.21875" style="179" customWidth="1"/>
    <col min="7691" max="7691" width="10" style="179" customWidth="1"/>
    <col min="7692" max="7692" width="7.88671875" style="179" customWidth="1"/>
    <col min="7693" max="7693" width="7.6640625" style="179" customWidth="1"/>
    <col min="7694" max="7695" width="8.88671875" style="179"/>
    <col min="7696" max="7696" width="9" style="179" customWidth="1"/>
    <col min="7697" max="7698" width="7.77734375" style="179" customWidth="1"/>
    <col min="7699" max="7699" width="6.6640625" style="179" customWidth="1"/>
    <col min="7700" max="7700" width="15" style="179" customWidth="1"/>
    <col min="7701" max="7702" width="14.33203125" style="179" customWidth="1"/>
    <col min="7703" max="7703" width="12.33203125" style="179" customWidth="1"/>
    <col min="7704" max="7704" width="7.88671875" style="179" customWidth="1"/>
    <col min="7705" max="7705" width="10.109375" style="179" bestFit="1" customWidth="1"/>
    <col min="7706" max="7706" width="7.77734375" style="179" customWidth="1"/>
    <col min="7707" max="7938" width="8.88671875" style="179"/>
    <col min="7939" max="7939" width="3.21875" style="179" customWidth="1"/>
    <col min="7940" max="7940" width="25.21875" style="179" customWidth="1"/>
    <col min="7941" max="7941" width="10.5546875" style="179" customWidth="1"/>
    <col min="7942" max="7942" width="9.6640625" style="179" customWidth="1"/>
    <col min="7943" max="7944" width="10.6640625" style="179" customWidth="1"/>
    <col min="7945" max="7946" width="12.21875" style="179" customWidth="1"/>
    <col min="7947" max="7947" width="10" style="179" customWidth="1"/>
    <col min="7948" max="7948" width="7.88671875" style="179" customWidth="1"/>
    <col min="7949" max="7949" width="7.6640625" style="179" customWidth="1"/>
    <col min="7950" max="7951" width="8.88671875" style="179"/>
    <col min="7952" max="7952" width="9" style="179" customWidth="1"/>
    <col min="7953" max="7954" width="7.77734375" style="179" customWidth="1"/>
    <col min="7955" max="7955" width="6.6640625" style="179" customWidth="1"/>
    <col min="7956" max="7956" width="15" style="179" customWidth="1"/>
    <col min="7957" max="7958" width="14.33203125" style="179" customWidth="1"/>
    <col min="7959" max="7959" width="12.33203125" style="179" customWidth="1"/>
    <col min="7960" max="7960" width="7.88671875" style="179" customWidth="1"/>
    <col min="7961" max="7961" width="10.109375" style="179" bestFit="1" customWidth="1"/>
    <col min="7962" max="7962" width="7.77734375" style="179" customWidth="1"/>
    <col min="7963" max="8194" width="8.88671875" style="179"/>
    <col min="8195" max="8195" width="3.21875" style="179" customWidth="1"/>
    <col min="8196" max="8196" width="25.21875" style="179" customWidth="1"/>
    <col min="8197" max="8197" width="10.5546875" style="179" customWidth="1"/>
    <col min="8198" max="8198" width="9.6640625" style="179" customWidth="1"/>
    <col min="8199" max="8200" width="10.6640625" style="179" customWidth="1"/>
    <col min="8201" max="8202" width="12.21875" style="179" customWidth="1"/>
    <col min="8203" max="8203" width="10" style="179" customWidth="1"/>
    <col min="8204" max="8204" width="7.88671875" style="179" customWidth="1"/>
    <col min="8205" max="8205" width="7.6640625" style="179" customWidth="1"/>
    <col min="8206" max="8207" width="8.88671875" style="179"/>
    <col min="8208" max="8208" width="9" style="179" customWidth="1"/>
    <col min="8209" max="8210" width="7.77734375" style="179" customWidth="1"/>
    <col min="8211" max="8211" width="6.6640625" style="179" customWidth="1"/>
    <col min="8212" max="8212" width="15" style="179" customWidth="1"/>
    <col min="8213" max="8214" width="14.33203125" style="179" customWidth="1"/>
    <col min="8215" max="8215" width="12.33203125" style="179" customWidth="1"/>
    <col min="8216" max="8216" width="7.88671875" style="179" customWidth="1"/>
    <col min="8217" max="8217" width="10.109375" style="179" bestFit="1" customWidth="1"/>
    <col min="8218" max="8218" width="7.77734375" style="179" customWidth="1"/>
    <col min="8219" max="8450" width="8.88671875" style="179"/>
    <col min="8451" max="8451" width="3.21875" style="179" customWidth="1"/>
    <col min="8452" max="8452" width="25.21875" style="179" customWidth="1"/>
    <col min="8453" max="8453" width="10.5546875" style="179" customWidth="1"/>
    <col min="8454" max="8454" width="9.6640625" style="179" customWidth="1"/>
    <col min="8455" max="8456" width="10.6640625" style="179" customWidth="1"/>
    <col min="8457" max="8458" width="12.21875" style="179" customWidth="1"/>
    <col min="8459" max="8459" width="10" style="179" customWidth="1"/>
    <col min="8460" max="8460" width="7.88671875" style="179" customWidth="1"/>
    <col min="8461" max="8461" width="7.6640625" style="179" customWidth="1"/>
    <col min="8462" max="8463" width="8.88671875" style="179"/>
    <col min="8464" max="8464" width="9" style="179" customWidth="1"/>
    <col min="8465" max="8466" width="7.77734375" style="179" customWidth="1"/>
    <col min="8467" max="8467" width="6.6640625" style="179" customWidth="1"/>
    <col min="8468" max="8468" width="15" style="179" customWidth="1"/>
    <col min="8469" max="8470" width="14.33203125" style="179" customWidth="1"/>
    <col min="8471" max="8471" width="12.33203125" style="179" customWidth="1"/>
    <col min="8472" max="8472" width="7.88671875" style="179" customWidth="1"/>
    <col min="8473" max="8473" width="10.109375" style="179" bestFit="1" customWidth="1"/>
    <col min="8474" max="8474" width="7.77734375" style="179" customWidth="1"/>
    <col min="8475" max="8706" width="8.88671875" style="179"/>
    <col min="8707" max="8707" width="3.21875" style="179" customWidth="1"/>
    <col min="8708" max="8708" width="25.21875" style="179" customWidth="1"/>
    <col min="8709" max="8709" width="10.5546875" style="179" customWidth="1"/>
    <col min="8710" max="8710" width="9.6640625" style="179" customWidth="1"/>
    <col min="8711" max="8712" width="10.6640625" style="179" customWidth="1"/>
    <col min="8713" max="8714" width="12.21875" style="179" customWidth="1"/>
    <col min="8715" max="8715" width="10" style="179" customWidth="1"/>
    <col min="8716" max="8716" width="7.88671875" style="179" customWidth="1"/>
    <col min="8717" max="8717" width="7.6640625" style="179" customWidth="1"/>
    <col min="8718" max="8719" width="8.88671875" style="179"/>
    <col min="8720" max="8720" width="9" style="179" customWidth="1"/>
    <col min="8721" max="8722" width="7.77734375" style="179" customWidth="1"/>
    <col min="8723" max="8723" width="6.6640625" style="179" customWidth="1"/>
    <col min="8724" max="8724" width="15" style="179" customWidth="1"/>
    <col min="8725" max="8726" width="14.33203125" style="179" customWidth="1"/>
    <col min="8727" max="8727" width="12.33203125" style="179" customWidth="1"/>
    <col min="8728" max="8728" width="7.88671875" style="179" customWidth="1"/>
    <col min="8729" max="8729" width="10.109375" style="179" bestFit="1" customWidth="1"/>
    <col min="8730" max="8730" width="7.77734375" style="179" customWidth="1"/>
    <col min="8731" max="8962" width="8.88671875" style="179"/>
    <col min="8963" max="8963" width="3.21875" style="179" customWidth="1"/>
    <col min="8964" max="8964" width="25.21875" style="179" customWidth="1"/>
    <col min="8965" max="8965" width="10.5546875" style="179" customWidth="1"/>
    <col min="8966" max="8966" width="9.6640625" style="179" customWidth="1"/>
    <col min="8967" max="8968" width="10.6640625" style="179" customWidth="1"/>
    <col min="8969" max="8970" width="12.21875" style="179" customWidth="1"/>
    <col min="8971" max="8971" width="10" style="179" customWidth="1"/>
    <col min="8972" max="8972" width="7.88671875" style="179" customWidth="1"/>
    <col min="8973" max="8973" width="7.6640625" style="179" customWidth="1"/>
    <col min="8974" max="8975" width="8.88671875" style="179"/>
    <col min="8976" max="8976" width="9" style="179" customWidth="1"/>
    <col min="8977" max="8978" width="7.77734375" style="179" customWidth="1"/>
    <col min="8979" max="8979" width="6.6640625" style="179" customWidth="1"/>
    <col min="8980" max="8980" width="15" style="179" customWidth="1"/>
    <col min="8981" max="8982" width="14.33203125" style="179" customWidth="1"/>
    <col min="8983" max="8983" width="12.33203125" style="179" customWidth="1"/>
    <col min="8984" max="8984" width="7.88671875" style="179" customWidth="1"/>
    <col min="8985" max="8985" width="10.109375" style="179" bestFit="1" customWidth="1"/>
    <col min="8986" max="8986" width="7.77734375" style="179" customWidth="1"/>
    <col min="8987" max="9218" width="8.88671875" style="179"/>
    <col min="9219" max="9219" width="3.21875" style="179" customWidth="1"/>
    <col min="9220" max="9220" width="25.21875" style="179" customWidth="1"/>
    <col min="9221" max="9221" width="10.5546875" style="179" customWidth="1"/>
    <col min="9222" max="9222" width="9.6640625" style="179" customWidth="1"/>
    <col min="9223" max="9224" width="10.6640625" style="179" customWidth="1"/>
    <col min="9225" max="9226" width="12.21875" style="179" customWidth="1"/>
    <col min="9227" max="9227" width="10" style="179" customWidth="1"/>
    <col min="9228" max="9228" width="7.88671875" style="179" customWidth="1"/>
    <col min="9229" max="9229" width="7.6640625" style="179" customWidth="1"/>
    <col min="9230" max="9231" width="8.88671875" style="179"/>
    <col min="9232" max="9232" width="9" style="179" customWidth="1"/>
    <col min="9233" max="9234" width="7.77734375" style="179" customWidth="1"/>
    <col min="9235" max="9235" width="6.6640625" style="179" customWidth="1"/>
    <col min="9236" max="9236" width="15" style="179" customWidth="1"/>
    <col min="9237" max="9238" width="14.33203125" style="179" customWidth="1"/>
    <col min="9239" max="9239" width="12.33203125" style="179" customWidth="1"/>
    <col min="9240" max="9240" width="7.88671875" style="179" customWidth="1"/>
    <col min="9241" max="9241" width="10.109375" style="179" bestFit="1" customWidth="1"/>
    <col min="9242" max="9242" width="7.77734375" style="179" customWidth="1"/>
    <col min="9243" max="9474" width="8.88671875" style="179"/>
    <col min="9475" max="9475" width="3.21875" style="179" customWidth="1"/>
    <col min="9476" max="9476" width="25.21875" style="179" customWidth="1"/>
    <col min="9477" max="9477" width="10.5546875" style="179" customWidth="1"/>
    <col min="9478" max="9478" width="9.6640625" style="179" customWidth="1"/>
    <col min="9479" max="9480" width="10.6640625" style="179" customWidth="1"/>
    <col min="9481" max="9482" width="12.21875" style="179" customWidth="1"/>
    <col min="9483" max="9483" width="10" style="179" customWidth="1"/>
    <col min="9484" max="9484" width="7.88671875" style="179" customWidth="1"/>
    <col min="9485" max="9485" width="7.6640625" style="179" customWidth="1"/>
    <col min="9486" max="9487" width="8.88671875" style="179"/>
    <col min="9488" max="9488" width="9" style="179" customWidth="1"/>
    <col min="9489" max="9490" width="7.77734375" style="179" customWidth="1"/>
    <col min="9491" max="9491" width="6.6640625" style="179" customWidth="1"/>
    <col min="9492" max="9492" width="15" style="179" customWidth="1"/>
    <col min="9493" max="9494" width="14.33203125" style="179" customWidth="1"/>
    <col min="9495" max="9495" width="12.33203125" style="179" customWidth="1"/>
    <col min="9496" max="9496" width="7.88671875" style="179" customWidth="1"/>
    <col min="9497" max="9497" width="10.109375" style="179" bestFit="1" customWidth="1"/>
    <col min="9498" max="9498" width="7.77734375" style="179" customWidth="1"/>
    <col min="9499" max="9730" width="8.88671875" style="179"/>
    <col min="9731" max="9731" width="3.21875" style="179" customWidth="1"/>
    <col min="9732" max="9732" width="25.21875" style="179" customWidth="1"/>
    <col min="9733" max="9733" width="10.5546875" style="179" customWidth="1"/>
    <col min="9734" max="9734" width="9.6640625" style="179" customWidth="1"/>
    <col min="9735" max="9736" width="10.6640625" style="179" customWidth="1"/>
    <col min="9737" max="9738" width="12.21875" style="179" customWidth="1"/>
    <col min="9739" max="9739" width="10" style="179" customWidth="1"/>
    <col min="9740" max="9740" width="7.88671875" style="179" customWidth="1"/>
    <col min="9741" max="9741" width="7.6640625" style="179" customWidth="1"/>
    <col min="9742" max="9743" width="8.88671875" style="179"/>
    <col min="9744" max="9744" width="9" style="179" customWidth="1"/>
    <col min="9745" max="9746" width="7.77734375" style="179" customWidth="1"/>
    <col min="9747" max="9747" width="6.6640625" style="179" customWidth="1"/>
    <col min="9748" max="9748" width="15" style="179" customWidth="1"/>
    <col min="9749" max="9750" width="14.33203125" style="179" customWidth="1"/>
    <col min="9751" max="9751" width="12.33203125" style="179" customWidth="1"/>
    <col min="9752" max="9752" width="7.88671875" style="179" customWidth="1"/>
    <col min="9753" max="9753" width="10.109375" style="179" bestFit="1" customWidth="1"/>
    <col min="9754" max="9754" width="7.77734375" style="179" customWidth="1"/>
    <col min="9755" max="9986" width="8.88671875" style="179"/>
    <col min="9987" max="9987" width="3.21875" style="179" customWidth="1"/>
    <col min="9988" max="9988" width="25.21875" style="179" customWidth="1"/>
    <col min="9989" max="9989" width="10.5546875" style="179" customWidth="1"/>
    <col min="9990" max="9990" width="9.6640625" style="179" customWidth="1"/>
    <col min="9991" max="9992" width="10.6640625" style="179" customWidth="1"/>
    <col min="9993" max="9994" width="12.21875" style="179" customWidth="1"/>
    <col min="9995" max="9995" width="10" style="179" customWidth="1"/>
    <col min="9996" max="9996" width="7.88671875" style="179" customWidth="1"/>
    <col min="9997" max="9997" width="7.6640625" style="179" customWidth="1"/>
    <col min="9998" max="9999" width="8.88671875" style="179"/>
    <col min="10000" max="10000" width="9" style="179" customWidth="1"/>
    <col min="10001" max="10002" width="7.77734375" style="179" customWidth="1"/>
    <col min="10003" max="10003" width="6.6640625" style="179" customWidth="1"/>
    <col min="10004" max="10004" width="15" style="179" customWidth="1"/>
    <col min="10005" max="10006" width="14.33203125" style="179" customWidth="1"/>
    <col min="10007" max="10007" width="12.33203125" style="179" customWidth="1"/>
    <col min="10008" max="10008" width="7.88671875" style="179" customWidth="1"/>
    <col min="10009" max="10009" width="10.109375" style="179" bestFit="1" customWidth="1"/>
    <col min="10010" max="10010" width="7.77734375" style="179" customWidth="1"/>
    <col min="10011" max="10242" width="8.88671875" style="179"/>
    <col min="10243" max="10243" width="3.21875" style="179" customWidth="1"/>
    <col min="10244" max="10244" width="25.21875" style="179" customWidth="1"/>
    <col min="10245" max="10245" width="10.5546875" style="179" customWidth="1"/>
    <col min="10246" max="10246" width="9.6640625" style="179" customWidth="1"/>
    <col min="10247" max="10248" width="10.6640625" style="179" customWidth="1"/>
    <col min="10249" max="10250" width="12.21875" style="179" customWidth="1"/>
    <col min="10251" max="10251" width="10" style="179" customWidth="1"/>
    <col min="10252" max="10252" width="7.88671875" style="179" customWidth="1"/>
    <col min="10253" max="10253" width="7.6640625" style="179" customWidth="1"/>
    <col min="10254" max="10255" width="8.88671875" style="179"/>
    <col min="10256" max="10256" width="9" style="179" customWidth="1"/>
    <col min="10257" max="10258" width="7.77734375" style="179" customWidth="1"/>
    <col min="10259" max="10259" width="6.6640625" style="179" customWidth="1"/>
    <col min="10260" max="10260" width="15" style="179" customWidth="1"/>
    <col min="10261" max="10262" width="14.33203125" style="179" customWidth="1"/>
    <col min="10263" max="10263" width="12.33203125" style="179" customWidth="1"/>
    <col min="10264" max="10264" width="7.88671875" style="179" customWidth="1"/>
    <col min="10265" max="10265" width="10.109375" style="179" bestFit="1" customWidth="1"/>
    <col min="10266" max="10266" width="7.77734375" style="179" customWidth="1"/>
    <col min="10267" max="10498" width="8.88671875" style="179"/>
    <col min="10499" max="10499" width="3.21875" style="179" customWidth="1"/>
    <col min="10500" max="10500" width="25.21875" style="179" customWidth="1"/>
    <col min="10501" max="10501" width="10.5546875" style="179" customWidth="1"/>
    <col min="10502" max="10502" width="9.6640625" style="179" customWidth="1"/>
    <col min="10503" max="10504" width="10.6640625" style="179" customWidth="1"/>
    <col min="10505" max="10506" width="12.21875" style="179" customWidth="1"/>
    <col min="10507" max="10507" width="10" style="179" customWidth="1"/>
    <col min="10508" max="10508" width="7.88671875" style="179" customWidth="1"/>
    <col min="10509" max="10509" width="7.6640625" style="179" customWidth="1"/>
    <col min="10510" max="10511" width="8.88671875" style="179"/>
    <col min="10512" max="10512" width="9" style="179" customWidth="1"/>
    <col min="10513" max="10514" width="7.77734375" style="179" customWidth="1"/>
    <col min="10515" max="10515" width="6.6640625" style="179" customWidth="1"/>
    <col min="10516" max="10516" width="15" style="179" customWidth="1"/>
    <col min="10517" max="10518" width="14.33203125" style="179" customWidth="1"/>
    <col min="10519" max="10519" width="12.33203125" style="179" customWidth="1"/>
    <col min="10520" max="10520" width="7.88671875" style="179" customWidth="1"/>
    <col min="10521" max="10521" width="10.109375" style="179" bestFit="1" customWidth="1"/>
    <col min="10522" max="10522" width="7.77734375" style="179" customWidth="1"/>
    <col min="10523" max="10754" width="8.88671875" style="179"/>
    <col min="10755" max="10755" width="3.21875" style="179" customWidth="1"/>
    <col min="10756" max="10756" width="25.21875" style="179" customWidth="1"/>
    <col min="10757" max="10757" width="10.5546875" style="179" customWidth="1"/>
    <col min="10758" max="10758" width="9.6640625" style="179" customWidth="1"/>
    <col min="10759" max="10760" width="10.6640625" style="179" customWidth="1"/>
    <col min="10761" max="10762" width="12.21875" style="179" customWidth="1"/>
    <col min="10763" max="10763" width="10" style="179" customWidth="1"/>
    <col min="10764" max="10764" width="7.88671875" style="179" customWidth="1"/>
    <col min="10765" max="10765" width="7.6640625" style="179" customWidth="1"/>
    <col min="10766" max="10767" width="8.88671875" style="179"/>
    <col min="10768" max="10768" width="9" style="179" customWidth="1"/>
    <col min="10769" max="10770" width="7.77734375" style="179" customWidth="1"/>
    <col min="10771" max="10771" width="6.6640625" style="179" customWidth="1"/>
    <col min="10772" max="10772" width="15" style="179" customWidth="1"/>
    <col min="10773" max="10774" width="14.33203125" style="179" customWidth="1"/>
    <col min="10775" max="10775" width="12.33203125" style="179" customWidth="1"/>
    <col min="10776" max="10776" width="7.88671875" style="179" customWidth="1"/>
    <col min="10777" max="10777" width="10.109375" style="179" bestFit="1" customWidth="1"/>
    <col min="10778" max="10778" width="7.77734375" style="179" customWidth="1"/>
    <col min="10779" max="11010" width="8.88671875" style="179"/>
    <col min="11011" max="11011" width="3.21875" style="179" customWidth="1"/>
    <col min="11012" max="11012" width="25.21875" style="179" customWidth="1"/>
    <col min="11013" max="11013" width="10.5546875" style="179" customWidth="1"/>
    <col min="11014" max="11014" width="9.6640625" style="179" customWidth="1"/>
    <col min="11015" max="11016" width="10.6640625" style="179" customWidth="1"/>
    <col min="11017" max="11018" width="12.21875" style="179" customWidth="1"/>
    <col min="11019" max="11019" width="10" style="179" customWidth="1"/>
    <col min="11020" max="11020" width="7.88671875" style="179" customWidth="1"/>
    <col min="11021" max="11021" width="7.6640625" style="179" customWidth="1"/>
    <col min="11022" max="11023" width="8.88671875" style="179"/>
    <col min="11024" max="11024" width="9" style="179" customWidth="1"/>
    <col min="11025" max="11026" width="7.77734375" style="179" customWidth="1"/>
    <col min="11027" max="11027" width="6.6640625" style="179" customWidth="1"/>
    <col min="11028" max="11028" width="15" style="179" customWidth="1"/>
    <col min="11029" max="11030" width="14.33203125" style="179" customWidth="1"/>
    <col min="11031" max="11031" width="12.33203125" style="179" customWidth="1"/>
    <col min="11032" max="11032" width="7.88671875" style="179" customWidth="1"/>
    <col min="11033" max="11033" width="10.109375" style="179" bestFit="1" customWidth="1"/>
    <col min="11034" max="11034" width="7.77734375" style="179" customWidth="1"/>
    <col min="11035" max="11266" width="8.88671875" style="179"/>
    <col min="11267" max="11267" width="3.21875" style="179" customWidth="1"/>
    <col min="11268" max="11268" width="25.21875" style="179" customWidth="1"/>
    <col min="11269" max="11269" width="10.5546875" style="179" customWidth="1"/>
    <col min="11270" max="11270" width="9.6640625" style="179" customWidth="1"/>
    <col min="11271" max="11272" width="10.6640625" style="179" customWidth="1"/>
    <col min="11273" max="11274" width="12.21875" style="179" customWidth="1"/>
    <col min="11275" max="11275" width="10" style="179" customWidth="1"/>
    <col min="11276" max="11276" width="7.88671875" style="179" customWidth="1"/>
    <col min="11277" max="11277" width="7.6640625" style="179" customWidth="1"/>
    <col min="11278" max="11279" width="8.88671875" style="179"/>
    <col min="11280" max="11280" width="9" style="179" customWidth="1"/>
    <col min="11281" max="11282" width="7.77734375" style="179" customWidth="1"/>
    <col min="11283" max="11283" width="6.6640625" style="179" customWidth="1"/>
    <col min="11284" max="11284" width="15" style="179" customWidth="1"/>
    <col min="11285" max="11286" width="14.33203125" style="179" customWidth="1"/>
    <col min="11287" max="11287" width="12.33203125" style="179" customWidth="1"/>
    <col min="11288" max="11288" width="7.88671875" style="179" customWidth="1"/>
    <col min="11289" max="11289" width="10.109375" style="179" bestFit="1" customWidth="1"/>
    <col min="11290" max="11290" width="7.77734375" style="179" customWidth="1"/>
    <col min="11291" max="11522" width="8.88671875" style="179"/>
    <col min="11523" max="11523" width="3.21875" style="179" customWidth="1"/>
    <col min="11524" max="11524" width="25.21875" style="179" customWidth="1"/>
    <col min="11525" max="11525" width="10.5546875" style="179" customWidth="1"/>
    <col min="11526" max="11526" width="9.6640625" style="179" customWidth="1"/>
    <col min="11527" max="11528" width="10.6640625" style="179" customWidth="1"/>
    <col min="11529" max="11530" width="12.21875" style="179" customWidth="1"/>
    <col min="11531" max="11531" width="10" style="179" customWidth="1"/>
    <col min="11532" max="11532" width="7.88671875" style="179" customWidth="1"/>
    <col min="11533" max="11533" width="7.6640625" style="179" customWidth="1"/>
    <col min="11534" max="11535" width="8.88671875" style="179"/>
    <col min="11536" max="11536" width="9" style="179" customWidth="1"/>
    <col min="11537" max="11538" width="7.77734375" style="179" customWidth="1"/>
    <col min="11539" max="11539" width="6.6640625" style="179" customWidth="1"/>
    <col min="11540" max="11540" width="15" style="179" customWidth="1"/>
    <col min="11541" max="11542" width="14.33203125" style="179" customWidth="1"/>
    <col min="11543" max="11543" width="12.33203125" style="179" customWidth="1"/>
    <col min="11544" max="11544" width="7.88671875" style="179" customWidth="1"/>
    <col min="11545" max="11545" width="10.109375" style="179" bestFit="1" customWidth="1"/>
    <col min="11546" max="11546" width="7.77734375" style="179" customWidth="1"/>
    <col min="11547" max="11778" width="8.88671875" style="179"/>
    <col min="11779" max="11779" width="3.21875" style="179" customWidth="1"/>
    <col min="11780" max="11780" width="25.21875" style="179" customWidth="1"/>
    <col min="11781" max="11781" width="10.5546875" style="179" customWidth="1"/>
    <col min="11782" max="11782" width="9.6640625" style="179" customWidth="1"/>
    <col min="11783" max="11784" width="10.6640625" style="179" customWidth="1"/>
    <col min="11785" max="11786" width="12.21875" style="179" customWidth="1"/>
    <col min="11787" max="11787" width="10" style="179" customWidth="1"/>
    <col min="11788" max="11788" width="7.88671875" style="179" customWidth="1"/>
    <col min="11789" max="11789" width="7.6640625" style="179" customWidth="1"/>
    <col min="11790" max="11791" width="8.88671875" style="179"/>
    <col min="11792" max="11792" width="9" style="179" customWidth="1"/>
    <col min="11793" max="11794" width="7.77734375" style="179" customWidth="1"/>
    <col min="11795" max="11795" width="6.6640625" style="179" customWidth="1"/>
    <col min="11796" max="11796" width="15" style="179" customWidth="1"/>
    <col min="11797" max="11798" width="14.33203125" style="179" customWidth="1"/>
    <col min="11799" max="11799" width="12.33203125" style="179" customWidth="1"/>
    <col min="11800" max="11800" width="7.88671875" style="179" customWidth="1"/>
    <col min="11801" max="11801" width="10.109375" style="179" bestFit="1" customWidth="1"/>
    <col min="11802" max="11802" width="7.77734375" style="179" customWidth="1"/>
    <col min="11803" max="12034" width="8.88671875" style="179"/>
    <col min="12035" max="12035" width="3.21875" style="179" customWidth="1"/>
    <col min="12036" max="12036" width="25.21875" style="179" customWidth="1"/>
    <col min="12037" max="12037" width="10.5546875" style="179" customWidth="1"/>
    <col min="12038" max="12038" width="9.6640625" style="179" customWidth="1"/>
    <col min="12039" max="12040" width="10.6640625" style="179" customWidth="1"/>
    <col min="12041" max="12042" width="12.21875" style="179" customWidth="1"/>
    <col min="12043" max="12043" width="10" style="179" customWidth="1"/>
    <col min="12044" max="12044" width="7.88671875" style="179" customWidth="1"/>
    <col min="12045" max="12045" width="7.6640625" style="179" customWidth="1"/>
    <col min="12046" max="12047" width="8.88671875" style="179"/>
    <col min="12048" max="12048" width="9" style="179" customWidth="1"/>
    <col min="12049" max="12050" width="7.77734375" style="179" customWidth="1"/>
    <col min="12051" max="12051" width="6.6640625" style="179" customWidth="1"/>
    <col min="12052" max="12052" width="15" style="179" customWidth="1"/>
    <col min="12053" max="12054" width="14.33203125" style="179" customWidth="1"/>
    <col min="12055" max="12055" width="12.33203125" style="179" customWidth="1"/>
    <col min="12056" max="12056" width="7.88671875" style="179" customWidth="1"/>
    <col min="12057" max="12057" width="10.109375" style="179" bestFit="1" customWidth="1"/>
    <col min="12058" max="12058" width="7.77734375" style="179" customWidth="1"/>
    <col min="12059" max="12290" width="8.88671875" style="179"/>
    <col min="12291" max="12291" width="3.21875" style="179" customWidth="1"/>
    <col min="12292" max="12292" width="25.21875" style="179" customWidth="1"/>
    <col min="12293" max="12293" width="10.5546875" style="179" customWidth="1"/>
    <col min="12294" max="12294" width="9.6640625" style="179" customWidth="1"/>
    <col min="12295" max="12296" width="10.6640625" style="179" customWidth="1"/>
    <col min="12297" max="12298" width="12.21875" style="179" customWidth="1"/>
    <col min="12299" max="12299" width="10" style="179" customWidth="1"/>
    <col min="12300" max="12300" width="7.88671875" style="179" customWidth="1"/>
    <col min="12301" max="12301" width="7.6640625" style="179" customWidth="1"/>
    <col min="12302" max="12303" width="8.88671875" style="179"/>
    <col min="12304" max="12304" width="9" style="179" customWidth="1"/>
    <col min="12305" max="12306" width="7.77734375" style="179" customWidth="1"/>
    <col min="12307" max="12307" width="6.6640625" style="179" customWidth="1"/>
    <col min="12308" max="12308" width="15" style="179" customWidth="1"/>
    <col min="12309" max="12310" width="14.33203125" style="179" customWidth="1"/>
    <col min="12311" max="12311" width="12.33203125" style="179" customWidth="1"/>
    <col min="12312" max="12312" width="7.88671875" style="179" customWidth="1"/>
    <col min="12313" max="12313" width="10.109375" style="179" bestFit="1" customWidth="1"/>
    <col min="12314" max="12314" width="7.77734375" style="179" customWidth="1"/>
    <col min="12315" max="12546" width="8.88671875" style="179"/>
    <col min="12547" max="12547" width="3.21875" style="179" customWidth="1"/>
    <col min="12548" max="12548" width="25.21875" style="179" customWidth="1"/>
    <col min="12549" max="12549" width="10.5546875" style="179" customWidth="1"/>
    <col min="12550" max="12550" width="9.6640625" style="179" customWidth="1"/>
    <col min="12551" max="12552" width="10.6640625" style="179" customWidth="1"/>
    <col min="12553" max="12554" width="12.21875" style="179" customWidth="1"/>
    <col min="12555" max="12555" width="10" style="179" customWidth="1"/>
    <col min="12556" max="12556" width="7.88671875" style="179" customWidth="1"/>
    <col min="12557" max="12557" width="7.6640625" style="179" customWidth="1"/>
    <col min="12558" max="12559" width="8.88671875" style="179"/>
    <col min="12560" max="12560" width="9" style="179" customWidth="1"/>
    <col min="12561" max="12562" width="7.77734375" style="179" customWidth="1"/>
    <col min="12563" max="12563" width="6.6640625" style="179" customWidth="1"/>
    <col min="12564" max="12564" width="15" style="179" customWidth="1"/>
    <col min="12565" max="12566" width="14.33203125" style="179" customWidth="1"/>
    <col min="12567" max="12567" width="12.33203125" style="179" customWidth="1"/>
    <col min="12568" max="12568" width="7.88671875" style="179" customWidth="1"/>
    <col min="12569" max="12569" width="10.109375" style="179" bestFit="1" customWidth="1"/>
    <col min="12570" max="12570" width="7.77734375" style="179" customWidth="1"/>
    <col min="12571" max="12802" width="8.88671875" style="179"/>
    <col min="12803" max="12803" width="3.21875" style="179" customWidth="1"/>
    <col min="12804" max="12804" width="25.21875" style="179" customWidth="1"/>
    <col min="12805" max="12805" width="10.5546875" style="179" customWidth="1"/>
    <col min="12806" max="12806" width="9.6640625" style="179" customWidth="1"/>
    <col min="12807" max="12808" width="10.6640625" style="179" customWidth="1"/>
    <col min="12809" max="12810" width="12.21875" style="179" customWidth="1"/>
    <col min="12811" max="12811" width="10" style="179" customWidth="1"/>
    <col min="12812" max="12812" width="7.88671875" style="179" customWidth="1"/>
    <col min="12813" max="12813" width="7.6640625" style="179" customWidth="1"/>
    <col min="12814" max="12815" width="8.88671875" style="179"/>
    <col min="12816" max="12816" width="9" style="179" customWidth="1"/>
    <col min="12817" max="12818" width="7.77734375" style="179" customWidth="1"/>
    <col min="12819" max="12819" width="6.6640625" style="179" customWidth="1"/>
    <col min="12820" max="12820" width="15" style="179" customWidth="1"/>
    <col min="12821" max="12822" width="14.33203125" style="179" customWidth="1"/>
    <col min="12823" max="12823" width="12.33203125" style="179" customWidth="1"/>
    <col min="12824" max="12824" width="7.88671875" style="179" customWidth="1"/>
    <col min="12825" max="12825" width="10.109375" style="179" bestFit="1" customWidth="1"/>
    <col min="12826" max="12826" width="7.77734375" style="179" customWidth="1"/>
    <col min="12827" max="13058" width="8.88671875" style="179"/>
    <col min="13059" max="13059" width="3.21875" style="179" customWidth="1"/>
    <col min="13060" max="13060" width="25.21875" style="179" customWidth="1"/>
    <col min="13061" max="13061" width="10.5546875" style="179" customWidth="1"/>
    <col min="13062" max="13062" width="9.6640625" style="179" customWidth="1"/>
    <col min="13063" max="13064" width="10.6640625" style="179" customWidth="1"/>
    <col min="13065" max="13066" width="12.21875" style="179" customWidth="1"/>
    <col min="13067" max="13067" width="10" style="179" customWidth="1"/>
    <col min="13068" max="13068" width="7.88671875" style="179" customWidth="1"/>
    <col min="13069" max="13069" width="7.6640625" style="179" customWidth="1"/>
    <col min="13070" max="13071" width="8.88671875" style="179"/>
    <col min="13072" max="13072" width="9" style="179" customWidth="1"/>
    <col min="13073" max="13074" width="7.77734375" style="179" customWidth="1"/>
    <col min="13075" max="13075" width="6.6640625" style="179" customWidth="1"/>
    <col min="13076" max="13076" width="15" style="179" customWidth="1"/>
    <col min="13077" max="13078" width="14.33203125" style="179" customWidth="1"/>
    <col min="13079" max="13079" width="12.33203125" style="179" customWidth="1"/>
    <col min="13080" max="13080" width="7.88671875" style="179" customWidth="1"/>
    <col min="13081" max="13081" width="10.109375" style="179" bestFit="1" customWidth="1"/>
    <col min="13082" max="13082" width="7.77734375" style="179" customWidth="1"/>
    <col min="13083" max="13314" width="8.88671875" style="179"/>
    <col min="13315" max="13315" width="3.21875" style="179" customWidth="1"/>
    <col min="13316" max="13316" width="25.21875" style="179" customWidth="1"/>
    <col min="13317" max="13317" width="10.5546875" style="179" customWidth="1"/>
    <col min="13318" max="13318" width="9.6640625" style="179" customWidth="1"/>
    <col min="13319" max="13320" width="10.6640625" style="179" customWidth="1"/>
    <col min="13321" max="13322" width="12.21875" style="179" customWidth="1"/>
    <col min="13323" max="13323" width="10" style="179" customWidth="1"/>
    <col min="13324" max="13324" width="7.88671875" style="179" customWidth="1"/>
    <col min="13325" max="13325" width="7.6640625" style="179" customWidth="1"/>
    <col min="13326" max="13327" width="8.88671875" style="179"/>
    <col min="13328" max="13328" width="9" style="179" customWidth="1"/>
    <col min="13329" max="13330" width="7.77734375" style="179" customWidth="1"/>
    <col min="13331" max="13331" width="6.6640625" style="179" customWidth="1"/>
    <col min="13332" max="13332" width="15" style="179" customWidth="1"/>
    <col min="13333" max="13334" width="14.33203125" style="179" customWidth="1"/>
    <col min="13335" max="13335" width="12.33203125" style="179" customWidth="1"/>
    <col min="13336" max="13336" width="7.88671875" style="179" customWidth="1"/>
    <col min="13337" max="13337" width="10.109375" style="179" bestFit="1" customWidth="1"/>
    <col min="13338" max="13338" width="7.77734375" style="179" customWidth="1"/>
    <col min="13339" max="13570" width="8.88671875" style="179"/>
    <col min="13571" max="13571" width="3.21875" style="179" customWidth="1"/>
    <col min="13572" max="13572" width="25.21875" style="179" customWidth="1"/>
    <col min="13573" max="13573" width="10.5546875" style="179" customWidth="1"/>
    <col min="13574" max="13574" width="9.6640625" style="179" customWidth="1"/>
    <col min="13575" max="13576" width="10.6640625" style="179" customWidth="1"/>
    <col min="13577" max="13578" width="12.21875" style="179" customWidth="1"/>
    <col min="13579" max="13579" width="10" style="179" customWidth="1"/>
    <col min="13580" max="13580" width="7.88671875" style="179" customWidth="1"/>
    <col min="13581" max="13581" width="7.6640625" style="179" customWidth="1"/>
    <col min="13582" max="13583" width="8.88671875" style="179"/>
    <col min="13584" max="13584" width="9" style="179" customWidth="1"/>
    <col min="13585" max="13586" width="7.77734375" style="179" customWidth="1"/>
    <col min="13587" max="13587" width="6.6640625" style="179" customWidth="1"/>
    <col min="13588" max="13588" width="15" style="179" customWidth="1"/>
    <col min="13589" max="13590" width="14.33203125" style="179" customWidth="1"/>
    <col min="13591" max="13591" width="12.33203125" style="179" customWidth="1"/>
    <col min="13592" max="13592" width="7.88671875" style="179" customWidth="1"/>
    <col min="13593" max="13593" width="10.109375" style="179" bestFit="1" customWidth="1"/>
    <col min="13594" max="13594" width="7.77734375" style="179" customWidth="1"/>
    <col min="13595" max="13826" width="8.88671875" style="179"/>
    <col min="13827" max="13827" width="3.21875" style="179" customWidth="1"/>
    <col min="13828" max="13828" width="25.21875" style="179" customWidth="1"/>
    <col min="13829" max="13829" width="10.5546875" style="179" customWidth="1"/>
    <col min="13830" max="13830" width="9.6640625" style="179" customWidth="1"/>
    <col min="13831" max="13832" width="10.6640625" style="179" customWidth="1"/>
    <col min="13833" max="13834" width="12.21875" style="179" customWidth="1"/>
    <col min="13835" max="13835" width="10" style="179" customWidth="1"/>
    <col min="13836" max="13836" width="7.88671875" style="179" customWidth="1"/>
    <col min="13837" max="13837" width="7.6640625" style="179" customWidth="1"/>
    <col min="13838" max="13839" width="8.88671875" style="179"/>
    <col min="13840" max="13840" width="9" style="179" customWidth="1"/>
    <col min="13841" max="13842" width="7.77734375" style="179" customWidth="1"/>
    <col min="13843" max="13843" width="6.6640625" style="179" customWidth="1"/>
    <col min="13844" max="13844" width="15" style="179" customWidth="1"/>
    <col min="13845" max="13846" width="14.33203125" style="179" customWidth="1"/>
    <col min="13847" max="13847" width="12.33203125" style="179" customWidth="1"/>
    <col min="13848" max="13848" width="7.88671875" style="179" customWidth="1"/>
    <col min="13849" max="13849" width="10.109375" style="179" bestFit="1" customWidth="1"/>
    <col min="13850" max="13850" width="7.77734375" style="179" customWidth="1"/>
    <col min="13851" max="14082" width="8.88671875" style="179"/>
    <col min="14083" max="14083" width="3.21875" style="179" customWidth="1"/>
    <col min="14084" max="14084" width="25.21875" style="179" customWidth="1"/>
    <col min="14085" max="14085" width="10.5546875" style="179" customWidth="1"/>
    <col min="14086" max="14086" width="9.6640625" style="179" customWidth="1"/>
    <col min="14087" max="14088" width="10.6640625" style="179" customWidth="1"/>
    <col min="14089" max="14090" width="12.21875" style="179" customWidth="1"/>
    <col min="14091" max="14091" width="10" style="179" customWidth="1"/>
    <col min="14092" max="14092" width="7.88671875" style="179" customWidth="1"/>
    <col min="14093" max="14093" width="7.6640625" style="179" customWidth="1"/>
    <col min="14094" max="14095" width="8.88671875" style="179"/>
    <col min="14096" max="14096" width="9" style="179" customWidth="1"/>
    <col min="14097" max="14098" width="7.77734375" style="179" customWidth="1"/>
    <col min="14099" max="14099" width="6.6640625" style="179" customWidth="1"/>
    <col min="14100" max="14100" width="15" style="179" customWidth="1"/>
    <col min="14101" max="14102" width="14.33203125" style="179" customWidth="1"/>
    <col min="14103" max="14103" width="12.33203125" style="179" customWidth="1"/>
    <col min="14104" max="14104" width="7.88671875" style="179" customWidth="1"/>
    <col min="14105" max="14105" width="10.109375" style="179" bestFit="1" customWidth="1"/>
    <col min="14106" max="14106" width="7.77734375" style="179" customWidth="1"/>
    <col min="14107" max="14338" width="8.88671875" style="179"/>
    <col min="14339" max="14339" width="3.21875" style="179" customWidth="1"/>
    <col min="14340" max="14340" width="25.21875" style="179" customWidth="1"/>
    <col min="14341" max="14341" width="10.5546875" style="179" customWidth="1"/>
    <col min="14342" max="14342" width="9.6640625" style="179" customWidth="1"/>
    <col min="14343" max="14344" width="10.6640625" style="179" customWidth="1"/>
    <col min="14345" max="14346" width="12.21875" style="179" customWidth="1"/>
    <col min="14347" max="14347" width="10" style="179" customWidth="1"/>
    <col min="14348" max="14348" width="7.88671875" style="179" customWidth="1"/>
    <col min="14349" max="14349" width="7.6640625" style="179" customWidth="1"/>
    <col min="14350" max="14351" width="8.88671875" style="179"/>
    <col min="14352" max="14352" width="9" style="179" customWidth="1"/>
    <col min="14353" max="14354" width="7.77734375" style="179" customWidth="1"/>
    <col min="14355" max="14355" width="6.6640625" style="179" customWidth="1"/>
    <col min="14356" max="14356" width="15" style="179" customWidth="1"/>
    <col min="14357" max="14358" width="14.33203125" style="179" customWidth="1"/>
    <col min="14359" max="14359" width="12.33203125" style="179" customWidth="1"/>
    <col min="14360" max="14360" width="7.88671875" style="179" customWidth="1"/>
    <col min="14361" max="14361" width="10.109375" style="179" bestFit="1" customWidth="1"/>
    <col min="14362" max="14362" width="7.77734375" style="179" customWidth="1"/>
    <col min="14363" max="14594" width="8.88671875" style="179"/>
    <col min="14595" max="14595" width="3.21875" style="179" customWidth="1"/>
    <col min="14596" max="14596" width="25.21875" style="179" customWidth="1"/>
    <col min="14597" max="14597" width="10.5546875" style="179" customWidth="1"/>
    <col min="14598" max="14598" width="9.6640625" style="179" customWidth="1"/>
    <col min="14599" max="14600" width="10.6640625" style="179" customWidth="1"/>
    <col min="14601" max="14602" width="12.21875" style="179" customWidth="1"/>
    <col min="14603" max="14603" width="10" style="179" customWidth="1"/>
    <col min="14604" max="14604" width="7.88671875" style="179" customWidth="1"/>
    <col min="14605" max="14605" width="7.6640625" style="179" customWidth="1"/>
    <col min="14606" max="14607" width="8.88671875" style="179"/>
    <col min="14608" max="14608" width="9" style="179" customWidth="1"/>
    <col min="14609" max="14610" width="7.77734375" style="179" customWidth="1"/>
    <col min="14611" max="14611" width="6.6640625" style="179" customWidth="1"/>
    <col min="14612" max="14612" width="15" style="179" customWidth="1"/>
    <col min="14613" max="14614" width="14.33203125" style="179" customWidth="1"/>
    <col min="14615" max="14615" width="12.33203125" style="179" customWidth="1"/>
    <col min="14616" max="14616" width="7.88671875" style="179" customWidth="1"/>
    <col min="14617" max="14617" width="10.109375" style="179" bestFit="1" customWidth="1"/>
    <col min="14618" max="14618" width="7.77734375" style="179" customWidth="1"/>
    <col min="14619" max="14850" width="8.88671875" style="179"/>
    <col min="14851" max="14851" width="3.21875" style="179" customWidth="1"/>
    <col min="14852" max="14852" width="25.21875" style="179" customWidth="1"/>
    <col min="14853" max="14853" width="10.5546875" style="179" customWidth="1"/>
    <col min="14854" max="14854" width="9.6640625" style="179" customWidth="1"/>
    <col min="14855" max="14856" width="10.6640625" style="179" customWidth="1"/>
    <col min="14857" max="14858" width="12.21875" style="179" customWidth="1"/>
    <col min="14859" max="14859" width="10" style="179" customWidth="1"/>
    <col min="14860" max="14860" width="7.88671875" style="179" customWidth="1"/>
    <col min="14861" max="14861" width="7.6640625" style="179" customWidth="1"/>
    <col min="14862" max="14863" width="8.88671875" style="179"/>
    <col min="14864" max="14864" width="9" style="179" customWidth="1"/>
    <col min="14865" max="14866" width="7.77734375" style="179" customWidth="1"/>
    <col min="14867" max="14867" width="6.6640625" style="179" customWidth="1"/>
    <col min="14868" max="14868" width="15" style="179" customWidth="1"/>
    <col min="14869" max="14870" width="14.33203125" style="179" customWidth="1"/>
    <col min="14871" max="14871" width="12.33203125" style="179" customWidth="1"/>
    <col min="14872" max="14872" width="7.88671875" style="179" customWidth="1"/>
    <col min="14873" max="14873" width="10.109375" style="179" bestFit="1" customWidth="1"/>
    <col min="14874" max="14874" width="7.77734375" style="179" customWidth="1"/>
    <col min="14875" max="15106" width="8.88671875" style="179"/>
    <col min="15107" max="15107" width="3.21875" style="179" customWidth="1"/>
    <col min="15108" max="15108" width="25.21875" style="179" customWidth="1"/>
    <col min="15109" max="15109" width="10.5546875" style="179" customWidth="1"/>
    <col min="15110" max="15110" width="9.6640625" style="179" customWidth="1"/>
    <col min="15111" max="15112" width="10.6640625" style="179" customWidth="1"/>
    <col min="15113" max="15114" width="12.21875" style="179" customWidth="1"/>
    <col min="15115" max="15115" width="10" style="179" customWidth="1"/>
    <col min="15116" max="15116" width="7.88671875" style="179" customWidth="1"/>
    <col min="15117" max="15117" width="7.6640625" style="179" customWidth="1"/>
    <col min="15118" max="15119" width="8.88671875" style="179"/>
    <col min="15120" max="15120" width="9" style="179" customWidth="1"/>
    <col min="15121" max="15122" width="7.77734375" style="179" customWidth="1"/>
    <col min="15123" max="15123" width="6.6640625" style="179" customWidth="1"/>
    <col min="15124" max="15124" width="15" style="179" customWidth="1"/>
    <col min="15125" max="15126" width="14.33203125" style="179" customWidth="1"/>
    <col min="15127" max="15127" width="12.33203125" style="179" customWidth="1"/>
    <col min="15128" max="15128" width="7.88671875" style="179" customWidth="1"/>
    <col min="15129" max="15129" width="10.109375" style="179" bestFit="1" customWidth="1"/>
    <col min="15130" max="15130" width="7.77734375" style="179" customWidth="1"/>
    <col min="15131" max="15362" width="8.88671875" style="179"/>
    <col min="15363" max="15363" width="3.21875" style="179" customWidth="1"/>
    <col min="15364" max="15364" width="25.21875" style="179" customWidth="1"/>
    <col min="15365" max="15365" width="10.5546875" style="179" customWidth="1"/>
    <col min="15366" max="15366" width="9.6640625" style="179" customWidth="1"/>
    <col min="15367" max="15368" width="10.6640625" style="179" customWidth="1"/>
    <col min="15369" max="15370" width="12.21875" style="179" customWidth="1"/>
    <col min="15371" max="15371" width="10" style="179" customWidth="1"/>
    <col min="15372" max="15372" width="7.88671875" style="179" customWidth="1"/>
    <col min="15373" max="15373" width="7.6640625" style="179" customWidth="1"/>
    <col min="15374" max="15375" width="8.88671875" style="179"/>
    <col min="15376" max="15376" width="9" style="179" customWidth="1"/>
    <col min="15377" max="15378" width="7.77734375" style="179" customWidth="1"/>
    <col min="15379" max="15379" width="6.6640625" style="179" customWidth="1"/>
    <col min="15380" max="15380" width="15" style="179" customWidth="1"/>
    <col min="15381" max="15382" width="14.33203125" style="179" customWidth="1"/>
    <col min="15383" max="15383" width="12.33203125" style="179" customWidth="1"/>
    <col min="15384" max="15384" width="7.88671875" style="179" customWidth="1"/>
    <col min="15385" max="15385" width="10.109375" style="179" bestFit="1" customWidth="1"/>
    <col min="15386" max="15386" width="7.77734375" style="179" customWidth="1"/>
    <col min="15387" max="15618" width="8.88671875" style="179"/>
    <col min="15619" max="15619" width="3.21875" style="179" customWidth="1"/>
    <col min="15620" max="15620" width="25.21875" style="179" customWidth="1"/>
    <col min="15621" max="15621" width="10.5546875" style="179" customWidth="1"/>
    <col min="15622" max="15622" width="9.6640625" style="179" customWidth="1"/>
    <col min="15623" max="15624" width="10.6640625" style="179" customWidth="1"/>
    <col min="15625" max="15626" width="12.21875" style="179" customWidth="1"/>
    <col min="15627" max="15627" width="10" style="179" customWidth="1"/>
    <col min="15628" max="15628" width="7.88671875" style="179" customWidth="1"/>
    <col min="15629" max="15629" width="7.6640625" style="179" customWidth="1"/>
    <col min="15630" max="15631" width="8.88671875" style="179"/>
    <col min="15632" max="15632" width="9" style="179" customWidth="1"/>
    <col min="15633" max="15634" width="7.77734375" style="179" customWidth="1"/>
    <col min="15635" max="15635" width="6.6640625" style="179" customWidth="1"/>
    <col min="15636" max="15636" width="15" style="179" customWidth="1"/>
    <col min="15637" max="15638" width="14.33203125" style="179" customWidth="1"/>
    <col min="15639" max="15639" width="12.33203125" style="179" customWidth="1"/>
    <col min="15640" max="15640" width="7.88671875" style="179" customWidth="1"/>
    <col min="15641" max="15641" width="10.109375" style="179" bestFit="1" customWidth="1"/>
    <col min="15642" max="15642" width="7.77734375" style="179" customWidth="1"/>
    <col min="15643" max="15874" width="8.88671875" style="179"/>
    <col min="15875" max="15875" width="3.21875" style="179" customWidth="1"/>
    <col min="15876" max="15876" width="25.21875" style="179" customWidth="1"/>
    <col min="15877" max="15877" width="10.5546875" style="179" customWidth="1"/>
    <col min="15878" max="15878" width="9.6640625" style="179" customWidth="1"/>
    <col min="15879" max="15880" width="10.6640625" style="179" customWidth="1"/>
    <col min="15881" max="15882" width="12.21875" style="179" customWidth="1"/>
    <col min="15883" max="15883" width="10" style="179" customWidth="1"/>
    <col min="15884" max="15884" width="7.88671875" style="179" customWidth="1"/>
    <col min="15885" max="15885" width="7.6640625" style="179" customWidth="1"/>
    <col min="15886" max="15887" width="8.88671875" style="179"/>
    <col min="15888" max="15888" width="9" style="179" customWidth="1"/>
    <col min="15889" max="15890" width="7.77734375" style="179" customWidth="1"/>
    <col min="15891" max="15891" width="6.6640625" style="179" customWidth="1"/>
    <col min="15892" max="15892" width="15" style="179" customWidth="1"/>
    <col min="15893" max="15894" width="14.33203125" style="179" customWidth="1"/>
    <col min="15895" max="15895" width="12.33203125" style="179" customWidth="1"/>
    <col min="15896" max="15896" width="7.88671875" style="179" customWidth="1"/>
    <col min="15897" max="15897" width="10.109375" style="179" bestFit="1" customWidth="1"/>
    <col min="15898" max="15898" width="7.77734375" style="179" customWidth="1"/>
    <col min="15899" max="16130" width="8.88671875" style="179"/>
    <col min="16131" max="16131" width="3.21875" style="179" customWidth="1"/>
    <col min="16132" max="16132" width="25.21875" style="179" customWidth="1"/>
    <col min="16133" max="16133" width="10.5546875" style="179" customWidth="1"/>
    <col min="16134" max="16134" width="9.6640625" style="179" customWidth="1"/>
    <col min="16135" max="16136" width="10.6640625" style="179" customWidth="1"/>
    <col min="16137" max="16138" width="12.21875" style="179" customWidth="1"/>
    <col min="16139" max="16139" width="10" style="179" customWidth="1"/>
    <col min="16140" max="16140" width="7.88671875" style="179" customWidth="1"/>
    <col min="16141" max="16141" width="7.6640625" style="179" customWidth="1"/>
    <col min="16142" max="16143" width="8.88671875" style="179"/>
    <col min="16144" max="16144" width="9" style="179" customWidth="1"/>
    <col min="16145" max="16146" width="7.77734375" style="179" customWidth="1"/>
    <col min="16147" max="16147" width="6.6640625" style="179" customWidth="1"/>
    <col min="16148" max="16148" width="15" style="179" customWidth="1"/>
    <col min="16149" max="16150" width="14.33203125" style="179" customWidth="1"/>
    <col min="16151" max="16151" width="12.33203125" style="179" customWidth="1"/>
    <col min="16152" max="16152" width="7.88671875" style="179" customWidth="1"/>
    <col min="16153" max="16153" width="10.109375" style="179" bestFit="1" customWidth="1"/>
    <col min="16154" max="16154" width="7.77734375" style="179" customWidth="1"/>
    <col min="16155" max="16384" width="8.88671875" style="179"/>
  </cols>
  <sheetData>
    <row r="1" spans="1:23" s="351" customFormat="1" ht="20.100000000000001" customHeight="1">
      <c r="A1" s="350" t="s">
        <v>452</v>
      </c>
      <c r="W1" s="652"/>
    </row>
    <row r="2" spans="1:23" s="181" customFormat="1" ht="20.100000000000001" customHeight="1">
      <c r="A2" s="653"/>
      <c r="W2" s="654"/>
    </row>
    <row r="3" spans="1:23" s="351" customFormat="1" ht="20.100000000000001" customHeight="1">
      <c r="B3" s="502" t="s">
        <v>106</v>
      </c>
      <c r="C3" s="502"/>
    </row>
    <row r="4" spans="1:23" s="181" customFormat="1" ht="30" customHeight="1">
      <c r="B4" s="1198" t="s">
        <v>44</v>
      </c>
      <c r="C4" s="1117" t="s">
        <v>64</v>
      </c>
      <c r="D4" s="1200" t="s">
        <v>46</v>
      </c>
      <c r="E4" s="1117" t="s">
        <v>68</v>
      </c>
      <c r="F4" s="1202"/>
      <c r="G4" s="1202"/>
      <c r="H4" s="1202" t="s">
        <v>61</v>
      </c>
      <c r="I4" s="1200" t="s">
        <v>46</v>
      </c>
      <c r="J4" s="1117" t="s">
        <v>54</v>
      </c>
      <c r="K4" s="1202"/>
      <c r="L4" s="1202" t="s">
        <v>61</v>
      </c>
      <c r="M4" s="1200" t="s">
        <v>46</v>
      </c>
      <c r="N4" s="1119" t="s">
        <v>453</v>
      </c>
      <c r="O4" s="1221" t="s">
        <v>46</v>
      </c>
      <c r="P4" s="1220" t="s">
        <v>55</v>
      </c>
      <c r="Q4" s="1204" t="s">
        <v>45</v>
      </c>
    </row>
    <row r="5" spans="1:23" s="181" customFormat="1" ht="30" customHeight="1">
      <c r="B5" s="1199"/>
      <c r="C5" s="1118"/>
      <c r="D5" s="1201"/>
      <c r="E5" s="655" t="s">
        <v>60</v>
      </c>
      <c r="F5" s="656" t="s">
        <v>62</v>
      </c>
      <c r="G5" s="656" t="s">
        <v>63</v>
      </c>
      <c r="H5" s="1203"/>
      <c r="I5" s="1201"/>
      <c r="J5" s="655" t="s">
        <v>60</v>
      </c>
      <c r="K5" s="656" t="s">
        <v>62</v>
      </c>
      <c r="L5" s="1203"/>
      <c r="M5" s="1201"/>
      <c r="N5" s="1120"/>
      <c r="O5" s="1222"/>
      <c r="P5" s="1120"/>
      <c r="Q5" s="1205"/>
    </row>
    <row r="6" spans="1:23" s="181" customFormat="1" ht="30" customHeight="1">
      <c r="B6" s="657" t="str">
        <f>참여업체!C6</f>
        <v>㈜ㅁㅁ엔지니어링</v>
      </c>
      <c r="C6" s="658">
        <f>'개발(주관)'!L5</f>
        <v>0.37</v>
      </c>
      <c r="D6" s="1206">
        <f>C6*P6+C7*P7+C8*P8</f>
        <v>0.38500000000000001</v>
      </c>
      <c r="E6" s="659">
        <f>'개발(주관)'!L14</f>
        <v>2</v>
      </c>
      <c r="F6" s="660">
        <f>'개발(주관)'!L11</f>
        <v>0.89999999999999991</v>
      </c>
      <c r="G6" s="660">
        <f>'개발(주관)'!L8</f>
        <v>1</v>
      </c>
      <c r="H6" s="661">
        <f>ROUND((E6*배점기준!$F$111+F6*배점기준!$G$111+G6*배점기준!$H$111)*배점기준!$G$109,2)</f>
        <v>1.99</v>
      </c>
      <c r="I6" s="1209">
        <f>ROUND(H6*P6+H7*P7+H8*P8,2)</f>
        <v>1.99</v>
      </c>
      <c r="J6" s="658">
        <f>'개발(주관)'!L20</f>
        <v>1.5</v>
      </c>
      <c r="K6" s="660">
        <f>'개발(주관)'!L17</f>
        <v>1.5</v>
      </c>
      <c r="L6" s="662">
        <f>ROUND(J6*배점기준!$F$112+K6*배점기준!$G$112,2)</f>
        <v>2.7</v>
      </c>
      <c r="M6" s="1212">
        <f>ROUND(L6*P6+L7*P7+L8*P8,2)</f>
        <v>2.7</v>
      </c>
      <c r="N6" s="663">
        <f>'개발(주관)'!L23*배점기준!I109</f>
        <v>0.15000000000000002</v>
      </c>
      <c r="O6" s="1223">
        <f>ROUND((N6*P6+N7*P7+N8*P8),2)</f>
        <v>0.53</v>
      </c>
      <c r="P6" s="664">
        <f>참여업체!C7</f>
        <v>0.5</v>
      </c>
      <c r="Q6" s="1215">
        <f>IF((D6+I6+M6+O6)&gt;=2,2,(D6+I6+M6+O6))</f>
        <v>2</v>
      </c>
    </row>
    <row r="7" spans="1:23" s="181" customFormat="1" ht="30" customHeight="1">
      <c r="B7" s="665" t="str">
        <f>참여업체!D6</f>
        <v>ㅇㅇ엔지니어링㈜</v>
      </c>
      <c r="C7" s="666">
        <f>'개발(협력)'!L5</f>
        <v>0.4</v>
      </c>
      <c r="D7" s="1207"/>
      <c r="E7" s="667">
        <f>'개발(협력)'!L14</f>
        <v>2</v>
      </c>
      <c r="F7" s="668">
        <f>'개발(협력)'!L11</f>
        <v>0.89999999999999991</v>
      </c>
      <c r="G7" s="668">
        <f>'개발(협력)'!L8</f>
        <v>1</v>
      </c>
      <c r="H7" s="669">
        <f>ROUND((E7*배점기준!$F$111+F7*배점기준!$G$111+G7*배점기준!$H$111)*배점기준!$G$109,2)</f>
        <v>1.99</v>
      </c>
      <c r="I7" s="1210"/>
      <c r="J7" s="666">
        <f>'개발(협력)'!L20</f>
        <v>1.5</v>
      </c>
      <c r="K7" s="668">
        <f>'개발(협력)'!L17</f>
        <v>1.5</v>
      </c>
      <c r="L7" s="670">
        <f>ROUND(J7*배점기준!$F$112+K7*배점기준!$G$112,2)</f>
        <v>2.7</v>
      </c>
      <c r="M7" s="1213"/>
      <c r="N7" s="671">
        <f>'개발(협력)'!L23</f>
        <v>1.5</v>
      </c>
      <c r="O7" s="1224"/>
      <c r="P7" s="672">
        <f>참여업체!D7</f>
        <v>0.3</v>
      </c>
      <c r="Q7" s="1216"/>
    </row>
    <row r="8" spans="1:23" s="181" customFormat="1" ht="30" customHeight="1">
      <c r="B8" s="673" t="str">
        <f>참여업체!E6</f>
        <v>◇◇기술공사㈜</v>
      </c>
      <c r="C8" s="674">
        <f>'개발(협력2)'!L5</f>
        <v>0.4</v>
      </c>
      <c r="D8" s="1208"/>
      <c r="E8" s="675">
        <f>'개발(협력2)'!L14</f>
        <v>2</v>
      </c>
      <c r="F8" s="676">
        <f>'개발(협력2)'!L11</f>
        <v>0.89999999999999991</v>
      </c>
      <c r="G8" s="676">
        <f>'개발(협력2)'!L8</f>
        <v>1</v>
      </c>
      <c r="H8" s="677">
        <f>ROUND((E8*배점기준!$F$111+F8*배점기준!$G$111+G8*배점기준!$H$111)*배점기준!$G$109,2)</f>
        <v>1.99</v>
      </c>
      <c r="I8" s="1211"/>
      <c r="J8" s="674">
        <f>'개발(협력2)'!L20</f>
        <v>1.5</v>
      </c>
      <c r="K8" s="676">
        <f>'개발(협력2)'!L17</f>
        <v>1.5</v>
      </c>
      <c r="L8" s="678">
        <f>ROUND(J8*배점기준!$F$112+K8*배점기준!$G$112,2)</f>
        <v>2.7</v>
      </c>
      <c r="M8" s="1214"/>
      <c r="N8" s="679"/>
      <c r="O8" s="1225"/>
      <c r="P8" s="680">
        <f>참여업체!E7</f>
        <v>0.2</v>
      </c>
      <c r="Q8" s="1217"/>
    </row>
    <row r="9" spans="1:23" s="181" customFormat="1" ht="10.5" customHeight="1">
      <c r="W9" s="654"/>
    </row>
    <row r="10" spans="1:23" ht="20.100000000000001" customHeight="1">
      <c r="B10" s="502" t="s">
        <v>461</v>
      </c>
      <c r="C10" s="502"/>
      <c r="D10" s="351"/>
      <c r="E10" s="351"/>
      <c r="F10" s="351"/>
      <c r="G10" s="652"/>
      <c r="H10" s="351"/>
      <c r="I10" s="351"/>
      <c r="J10" s="351"/>
      <c r="K10" s="681"/>
      <c r="L10" s="681"/>
    </row>
    <row r="11" spans="1:23" ht="30" customHeight="1">
      <c r="B11" s="1226" t="s">
        <v>44</v>
      </c>
      <c r="C11" s="1119" t="s">
        <v>137</v>
      </c>
      <c r="D11" s="1228" t="s">
        <v>69</v>
      </c>
      <c r="E11" s="1200"/>
      <c r="F11" s="1221" t="s">
        <v>47</v>
      </c>
      <c r="G11" s="1229" t="s">
        <v>96</v>
      </c>
      <c r="H11" s="1218" t="s">
        <v>55</v>
      </c>
      <c r="I11" s="1198" t="s">
        <v>52</v>
      </c>
      <c r="J11" s="1204" t="s">
        <v>45</v>
      </c>
      <c r="K11" s="681"/>
      <c r="L11" s="681"/>
    </row>
    <row r="12" spans="1:23" ht="30" customHeight="1">
      <c r="B12" s="1227"/>
      <c r="C12" s="1120"/>
      <c r="D12" s="683" t="s">
        <v>70</v>
      </c>
      <c r="E12" s="684" t="s">
        <v>71</v>
      </c>
      <c r="F12" s="1222"/>
      <c r="G12" s="1230"/>
      <c r="H12" s="1219"/>
      <c r="I12" s="1199"/>
      <c r="J12" s="1205"/>
      <c r="K12" s="681"/>
      <c r="L12" s="681"/>
    </row>
    <row r="13" spans="1:23" ht="30" customHeight="1">
      <c r="B13" s="1231" t="str">
        <f>B6</f>
        <v>㈜ㅁㅁ엔지니어링</v>
      </c>
      <c r="C13" s="685">
        <v>2012</v>
      </c>
      <c r="D13" s="686">
        <v>1850</v>
      </c>
      <c r="E13" s="686">
        <v>35424</v>
      </c>
      <c r="F13" s="687">
        <f t="shared" ref="F13:F18" si="0">IF(D13=0,"0",D13/E13)</f>
        <v>5.2224480578139117E-2</v>
      </c>
      <c r="G13" s="1232">
        <f>(F13+F14+F15)/3</f>
        <v>6.316740302343167E-2</v>
      </c>
      <c r="H13" s="1233">
        <f>P6</f>
        <v>0.5</v>
      </c>
      <c r="I13" s="1234">
        <f>G13*H13+G16*H16+G19*H19</f>
        <v>4.6772177639584411E-2</v>
      </c>
      <c r="J13" s="1235">
        <f>IF(I13&gt;=배점기준!F113,배점기준!F114,IF(I13&gt;=배점기준!G113,배점기준!G114,IF(I13&gt;=배점기준!H113,배점기준!H114,IF(I13&gt;=배점기준!I113,배점기준!I114,IF(I13&lt;배점기준!J113,배점기준!J114)))))</f>
        <v>2</v>
      </c>
      <c r="K13" s="681"/>
      <c r="L13" s="681"/>
    </row>
    <row r="14" spans="1:23" ht="30" customHeight="1">
      <c r="B14" s="1231"/>
      <c r="C14" s="685">
        <f>C13+1</f>
        <v>2013</v>
      </c>
      <c r="D14" s="688">
        <v>2008</v>
      </c>
      <c r="E14" s="688">
        <v>34254</v>
      </c>
      <c r="F14" s="687">
        <f t="shared" si="0"/>
        <v>5.8620890990833188E-2</v>
      </c>
      <c r="G14" s="1232"/>
      <c r="H14" s="1233"/>
      <c r="I14" s="1234"/>
      <c r="J14" s="1235"/>
      <c r="K14" s="681"/>
      <c r="L14" s="681"/>
    </row>
    <row r="15" spans="1:23" ht="30" customHeight="1">
      <c r="B15" s="1231"/>
      <c r="C15" s="685">
        <f>C14+1</f>
        <v>2014</v>
      </c>
      <c r="D15" s="689">
        <v>2230</v>
      </c>
      <c r="E15" s="689">
        <v>28351</v>
      </c>
      <c r="F15" s="687">
        <f t="shared" si="0"/>
        <v>7.8656837501322699E-2</v>
      </c>
      <c r="G15" s="1232"/>
      <c r="H15" s="1233"/>
      <c r="I15" s="1234"/>
      <c r="J15" s="1235"/>
      <c r="K15" s="681"/>
      <c r="L15" s="681"/>
    </row>
    <row r="16" spans="1:23" ht="30" customHeight="1">
      <c r="B16" s="1231" t="str">
        <f>B7</f>
        <v>ㅇㅇ엔지니어링㈜</v>
      </c>
      <c r="C16" s="685">
        <f>C13</f>
        <v>2012</v>
      </c>
      <c r="D16" s="690">
        <v>636</v>
      </c>
      <c r="E16" s="690">
        <v>19961</v>
      </c>
      <c r="F16" s="687">
        <f t="shared" si="0"/>
        <v>3.1862131155753717E-2</v>
      </c>
      <c r="G16" s="1232">
        <f>(F16+F17+F18)/3</f>
        <v>3.0376952255737149E-2</v>
      </c>
      <c r="H16" s="1233">
        <f>P7</f>
        <v>0.3</v>
      </c>
      <c r="I16" s="1234"/>
      <c r="J16" s="1235"/>
      <c r="K16" s="681"/>
      <c r="L16" s="681"/>
    </row>
    <row r="17" spans="1:23" ht="30" customHeight="1">
      <c r="B17" s="1231"/>
      <c r="C17" s="685">
        <f>C14</f>
        <v>2013</v>
      </c>
      <c r="D17" s="688">
        <v>610</v>
      </c>
      <c r="E17" s="688">
        <v>20961</v>
      </c>
      <c r="F17" s="687">
        <f t="shared" si="0"/>
        <v>2.9101664996899004E-2</v>
      </c>
      <c r="G17" s="1232"/>
      <c r="H17" s="1233"/>
      <c r="I17" s="1234"/>
      <c r="J17" s="1235"/>
      <c r="K17" s="681"/>
      <c r="L17" s="681"/>
    </row>
    <row r="18" spans="1:23" ht="30" customHeight="1">
      <c r="B18" s="1231"/>
      <c r="C18" s="685">
        <f>C15</f>
        <v>2014</v>
      </c>
      <c r="D18" s="691">
        <v>753</v>
      </c>
      <c r="E18" s="691">
        <v>24961</v>
      </c>
      <c r="F18" s="687">
        <f t="shared" si="0"/>
        <v>3.0167060614558712E-2</v>
      </c>
      <c r="G18" s="1232"/>
      <c r="H18" s="1233"/>
      <c r="I18" s="1234"/>
      <c r="J18" s="1235"/>
      <c r="K18" s="681"/>
      <c r="L18" s="681"/>
    </row>
    <row r="19" spans="1:23" ht="30" customHeight="1">
      <c r="B19" s="1231" t="str">
        <f>B8</f>
        <v>◇◇기술공사㈜</v>
      </c>
      <c r="C19" s="685">
        <f>C13</f>
        <v>2012</v>
      </c>
      <c r="D19" s="690">
        <v>636</v>
      </c>
      <c r="E19" s="690">
        <v>19961</v>
      </c>
      <c r="F19" s="687">
        <f>IF(D19=0,"0",D19/E19)</f>
        <v>3.1862131155753717E-2</v>
      </c>
      <c r="G19" s="1232">
        <f>(F19+F20+F21)/3</f>
        <v>3.0376952255737149E-2</v>
      </c>
      <c r="H19" s="1233">
        <f>P8</f>
        <v>0.2</v>
      </c>
      <c r="I19" s="1234"/>
      <c r="J19" s="1235"/>
      <c r="K19" s="681"/>
      <c r="L19" s="681"/>
    </row>
    <row r="20" spans="1:23" ht="30" customHeight="1">
      <c r="B20" s="1231"/>
      <c r="C20" s="685">
        <f>C14</f>
        <v>2013</v>
      </c>
      <c r="D20" s="688">
        <v>610</v>
      </c>
      <c r="E20" s="688">
        <v>20961</v>
      </c>
      <c r="F20" s="687">
        <f>IF(D20=0,"0",D20/E20)</f>
        <v>2.9101664996899004E-2</v>
      </c>
      <c r="G20" s="1232"/>
      <c r="H20" s="1233"/>
      <c r="I20" s="1234"/>
      <c r="J20" s="1235"/>
      <c r="K20" s="681"/>
      <c r="L20" s="681"/>
    </row>
    <row r="21" spans="1:23" ht="30" customHeight="1">
      <c r="B21" s="1231"/>
      <c r="C21" s="685">
        <f>C15</f>
        <v>2014</v>
      </c>
      <c r="D21" s="691">
        <v>753</v>
      </c>
      <c r="E21" s="691">
        <v>24961</v>
      </c>
      <c r="F21" s="687">
        <f>IF(D21=0,"0",D21/E21)</f>
        <v>3.0167060614558712E-2</v>
      </c>
      <c r="G21" s="1232"/>
      <c r="H21" s="1233"/>
      <c r="I21" s="1234"/>
      <c r="J21" s="1235"/>
      <c r="K21" s="681"/>
      <c r="L21" s="681"/>
    </row>
    <row r="22" spans="1:23" ht="10.5" customHeight="1">
      <c r="J22" s="692"/>
      <c r="K22" s="681"/>
      <c r="L22" s="681"/>
    </row>
    <row r="23" spans="1:23" ht="20.100000000000001" customHeight="1">
      <c r="B23" s="502" t="s">
        <v>462</v>
      </c>
      <c r="C23" s="502"/>
      <c r="D23" s="351"/>
      <c r="E23" s="351"/>
      <c r="F23" s="351"/>
      <c r="G23" s="351"/>
      <c r="H23" s="351"/>
      <c r="I23" s="351"/>
      <c r="J23" s="351"/>
      <c r="K23" s="351"/>
      <c r="L23" s="351"/>
    </row>
    <row r="24" spans="1:23" ht="30" customHeight="1">
      <c r="B24" s="1198" t="s">
        <v>44</v>
      </c>
      <c r="C24" s="1245" t="s">
        <v>64</v>
      </c>
      <c r="D24" s="1246"/>
      <c r="E24" s="1117" t="s">
        <v>68</v>
      </c>
      <c r="F24" s="1247"/>
      <c r="G24" s="1117" t="s">
        <v>54</v>
      </c>
      <c r="H24" s="1200"/>
      <c r="I24" s="1117" t="s">
        <v>453</v>
      </c>
      <c r="J24" s="1200"/>
      <c r="K24" s="1220" t="s">
        <v>55</v>
      </c>
      <c r="L24" s="1204" t="s">
        <v>45</v>
      </c>
      <c r="U24" s="682"/>
      <c r="W24" s="179"/>
    </row>
    <row r="25" spans="1:23" ht="30" customHeight="1">
      <c r="B25" s="1199"/>
      <c r="C25" s="683" t="s">
        <v>46</v>
      </c>
      <c r="D25" s="693" t="s">
        <v>61</v>
      </c>
      <c r="E25" s="694" t="s">
        <v>46</v>
      </c>
      <c r="F25" s="693" t="s">
        <v>61</v>
      </c>
      <c r="G25" s="655" t="s">
        <v>46</v>
      </c>
      <c r="H25" s="684" t="s">
        <v>61</v>
      </c>
      <c r="I25" s="655" t="s">
        <v>46</v>
      </c>
      <c r="J25" s="684" t="s">
        <v>61</v>
      </c>
      <c r="K25" s="1120"/>
      <c r="L25" s="1205"/>
      <c r="U25" s="682"/>
      <c r="W25" s="179"/>
    </row>
    <row r="26" spans="1:23" ht="30" customHeight="1">
      <c r="B26" s="657" t="str">
        <f>B6</f>
        <v>㈜ㅁㅁ엔지니어링</v>
      </c>
      <c r="C26" s="695">
        <f>'활용(주관)'!K9</f>
        <v>3.2800000000000002</v>
      </c>
      <c r="D26" s="1236">
        <f>ROUND(C26*K26+C27*K27+C28*K28,2)</f>
        <v>3.63</v>
      </c>
      <c r="E26" s="696">
        <f>'활용(주관)'!K13</f>
        <v>0.78479999999999994</v>
      </c>
      <c r="F26" s="1206">
        <f>ROUND(E26*K26+E27*K27+E28*K28,2)</f>
        <v>0.65</v>
      </c>
      <c r="G26" s="696">
        <f>'활용(주관)'!K16</f>
        <v>0.31079999999999997</v>
      </c>
      <c r="H26" s="1239">
        <f>ROUND(G26*K26+G27*K27+G28*K28,2)</f>
        <v>0.34</v>
      </c>
      <c r="I26" s="696">
        <f>'활용(주관)'!K19</f>
        <v>0.75600000000000001</v>
      </c>
      <c r="J26" s="1239">
        <f>ROUND(I26*K26+I27*K27+I28*K28,2)</f>
        <v>0.9</v>
      </c>
      <c r="K26" s="664">
        <f>[1]참여업체!$C$7</f>
        <v>0.5</v>
      </c>
      <c r="L26" s="1242">
        <f>IF((D26+F26+H26+J26)&gt;=배점기준!D115,2,(D26+F26+H26+J26))</f>
        <v>2</v>
      </c>
      <c r="U26" s="682"/>
      <c r="W26" s="179"/>
    </row>
    <row r="27" spans="1:23" ht="30" customHeight="1">
      <c r="B27" s="665" t="str">
        <f>B7</f>
        <v>ㅇㅇ엔지니어링㈜</v>
      </c>
      <c r="C27" s="697">
        <f>'활용(협력)'!K9</f>
        <v>3.98</v>
      </c>
      <c r="D27" s="1237"/>
      <c r="E27" s="698">
        <f>'활용(협력)'!K12</f>
        <v>0.51119999999999999</v>
      </c>
      <c r="F27" s="1207"/>
      <c r="G27" s="698">
        <f>'활용(협력)'!K15</f>
        <v>0.378</v>
      </c>
      <c r="H27" s="1240"/>
      <c r="I27" s="698">
        <f>'활용(협력)'!K18</f>
        <v>1.036</v>
      </c>
      <c r="J27" s="1240"/>
      <c r="K27" s="672">
        <f>[1]참여업체!$D$7</f>
        <v>0.3</v>
      </c>
      <c r="L27" s="1243"/>
      <c r="U27" s="682"/>
      <c r="W27" s="179"/>
    </row>
    <row r="28" spans="1:23" ht="30" customHeight="1">
      <c r="B28" s="673" t="str">
        <f>B8</f>
        <v>◇◇기술공사㈜</v>
      </c>
      <c r="C28" s="699">
        <f>'활용(협력2)'!K9</f>
        <v>3.98</v>
      </c>
      <c r="D28" s="1238"/>
      <c r="E28" s="700">
        <f>'활용(협력2)'!K12</f>
        <v>0.51119999999999999</v>
      </c>
      <c r="F28" s="1208"/>
      <c r="G28" s="700">
        <f>'활용(협력2)'!K15</f>
        <v>0.378</v>
      </c>
      <c r="H28" s="1241"/>
      <c r="I28" s="700">
        <f>'활용(협력)'!K18</f>
        <v>1.036</v>
      </c>
      <c r="J28" s="1241"/>
      <c r="K28" s="680">
        <f>[1]참여업체!$E$7</f>
        <v>0.2</v>
      </c>
      <c r="L28" s="1244"/>
      <c r="U28" s="682"/>
      <c r="W28" s="179"/>
    </row>
    <row r="29" spans="1:23" ht="10.5" customHeight="1"/>
    <row r="30" spans="1:23" ht="15.95" customHeight="1">
      <c r="B30" s="701"/>
      <c r="J30" s="692"/>
      <c r="K30" s="681"/>
      <c r="L30" s="681"/>
    </row>
    <row r="31" spans="1:23" ht="15.95" customHeight="1">
      <c r="A31" s="312" t="s">
        <v>127</v>
      </c>
      <c r="B31" s="308" t="s">
        <v>134</v>
      </c>
      <c r="C31" s="308"/>
      <c r="D31" s="390"/>
      <c r="E31" s="390"/>
      <c r="J31" s="692"/>
      <c r="K31" s="681"/>
      <c r="L31" s="681"/>
    </row>
    <row r="32" spans="1:23" ht="15.95" customHeight="1">
      <c r="A32" s="390"/>
      <c r="B32" s="308" t="s">
        <v>135</v>
      </c>
      <c r="C32" s="308"/>
      <c r="D32" s="390"/>
      <c r="E32" s="390"/>
      <c r="J32" s="692"/>
      <c r="K32" s="681"/>
      <c r="L32" s="681"/>
    </row>
    <row r="33" spans="2:12" ht="15.95" customHeight="1">
      <c r="B33" s="702" t="s">
        <v>133</v>
      </c>
      <c r="C33" s="702"/>
      <c r="J33" s="692"/>
      <c r="K33" s="448"/>
      <c r="L33" s="448"/>
    </row>
    <row r="34" spans="2:12" ht="15.95" customHeight="1">
      <c r="J34" s="692"/>
      <c r="K34" s="448"/>
    </row>
    <row r="35" spans="2:12" ht="15.95" customHeight="1">
      <c r="J35" s="692"/>
      <c r="K35" s="448"/>
    </row>
    <row r="36" spans="2:12" ht="15.95" customHeight="1">
      <c r="J36" s="692"/>
      <c r="K36" s="448"/>
    </row>
    <row r="37" spans="2:12" ht="15.95" customHeight="1">
      <c r="J37" s="692"/>
      <c r="K37" s="448"/>
    </row>
    <row r="38" spans="2:12" ht="15.95" customHeight="1">
      <c r="J38" s="692"/>
      <c r="K38" s="448"/>
    </row>
    <row r="39" spans="2:12" ht="15.95" customHeight="1">
      <c r="J39" s="692"/>
      <c r="K39" s="448"/>
    </row>
    <row r="40" spans="2:12" ht="15.95" customHeight="1">
      <c r="J40" s="692"/>
      <c r="K40" s="448"/>
    </row>
    <row r="41" spans="2:12" ht="15.95" customHeight="1">
      <c r="J41" s="692"/>
      <c r="K41" s="448"/>
    </row>
    <row r="42" spans="2:12" ht="15.95" customHeight="1">
      <c r="J42" s="692"/>
      <c r="K42" s="448"/>
    </row>
    <row r="43" spans="2:12" ht="15.95" customHeight="1">
      <c r="J43" s="692"/>
      <c r="K43" s="448"/>
    </row>
    <row r="44" spans="2:12" ht="15.95" customHeight="1">
      <c r="J44" s="692"/>
      <c r="K44" s="448"/>
    </row>
    <row r="45" spans="2:12" ht="15.95" customHeight="1">
      <c r="J45" s="692"/>
      <c r="K45" s="448"/>
    </row>
    <row r="46" spans="2:12" ht="15.95" customHeight="1">
      <c r="J46" s="692"/>
      <c r="K46" s="448"/>
    </row>
    <row r="47" spans="2:12" ht="15.95" customHeight="1">
      <c r="J47" s="692"/>
      <c r="K47" s="448"/>
    </row>
    <row r="48" spans="2:12" ht="15.95" customHeight="1">
      <c r="J48" s="692"/>
      <c r="K48" s="448"/>
    </row>
    <row r="49" spans="10:11" ht="15.95" customHeight="1">
      <c r="J49" s="692"/>
      <c r="K49" s="448"/>
    </row>
    <row r="50" spans="10:11" ht="15.95" customHeight="1">
      <c r="J50" s="692"/>
      <c r="K50" s="448"/>
    </row>
    <row r="51" spans="10:11" ht="15.95" customHeight="1">
      <c r="J51" s="692"/>
      <c r="K51" s="448"/>
    </row>
    <row r="52" spans="10:11" ht="15.95" customHeight="1">
      <c r="J52" s="692"/>
      <c r="K52" s="448"/>
    </row>
    <row r="53" spans="10:11" ht="15.95" customHeight="1">
      <c r="J53" s="692"/>
      <c r="K53" s="448"/>
    </row>
    <row r="54" spans="10:11" ht="15.95" customHeight="1">
      <c r="J54" s="692"/>
      <c r="K54" s="448"/>
    </row>
    <row r="55" spans="10:11" ht="15.95" customHeight="1">
      <c r="J55" s="692"/>
      <c r="K55" s="448"/>
    </row>
    <row r="56" spans="10:11" ht="15.95" customHeight="1">
      <c r="J56" s="692"/>
      <c r="K56" s="448"/>
    </row>
    <row r="57" spans="10:11" ht="15.95" customHeight="1">
      <c r="J57" s="692"/>
      <c r="K57" s="448"/>
    </row>
    <row r="58" spans="10:11" ht="15.95" customHeight="1">
      <c r="J58" s="692"/>
      <c r="K58" s="448"/>
    </row>
  </sheetData>
  <protectedRanges>
    <protectedRange password="CF2F" sqref="D13:E21" name="범위1"/>
  </protectedRanges>
  <mergeCells count="49">
    <mergeCell ref="D26:D28"/>
    <mergeCell ref="F26:F28"/>
    <mergeCell ref="H26:H28"/>
    <mergeCell ref="L26:L28"/>
    <mergeCell ref="B19:B21"/>
    <mergeCell ref="G19:G21"/>
    <mergeCell ref="H19:H21"/>
    <mergeCell ref="B24:B25"/>
    <mergeCell ref="C24:D24"/>
    <mergeCell ref="E24:F24"/>
    <mergeCell ref="G24:H24"/>
    <mergeCell ref="I24:J24"/>
    <mergeCell ref="J26:J28"/>
    <mergeCell ref="K24:K25"/>
    <mergeCell ref="L24:L25"/>
    <mergeCell ref="B13:B15"/>
    <mergeCell ref="G13:G15"/>
    <mergeCell ref="H13:H15"/>
    <mergeCell ref="I13:I21"/>
    <mergeCell ref="J13:J21"/>
    <mergeCell ref="B16:B18"/>
    <mergeCell ref="G16:G18"/>
    <mergeCell ref="H16:H18"/>
    <mergeCell ref="B11:B12"/>
    <mergeCell ref="C11:C12"/>
    <mergeCell ref="D11:E11"/>
    <mergeCell ref="F11:F12"/>
    <mergeCell ref="G11:G12"/>
    <mergeCell ref="H11:H12"/>
    <mergeCell ref="J4:K4"/>
    <mergeCell ref="L4:L5"/>
    <mergeCell ref="M4:M5"/>
    <mergeCell ref="P4:P5"/>
    <mergeCell ref="N4:N5"/>
    <mergeCell ref="O4:O5"/>
    <mergeCell ref="O6:O8"/>
    <mergeCell ref="I11:I12"/>
    <mergeCell ref="J11:J12"/>
    <mergeCell ref="Q4:Q5"/>
    <mergeCell ref="D6:D8"/>
    <mergeCell ref="I6:I8"/>
    <mergeCell ref="M6:M8"/>
    <mergeCell ref="Q6:Q8"/>
    <mergeCell ref="I4:I5"/>
    <mergeCell ref="B4:B5"/>
    <mergeCell ref="C4:C5"/>
    <mergeCell ref="D4:D5"/>
    <mergeCell ref="E4:G4"/>
    <mergeCell ref="H4:H5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2" orientation="landscape" horizontalDpi="4294967293" r:id="rId1"/>
  <headerFooter alignWithMargins="0"/>
  <ignoredErrors>
    <ignoredError sqref="I26" formula="1"/>
  </ignoredError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35"/>
  <sheetViews>
    <sheetView view="pageBreakPreview" zoomScale="85" zoomScaleNormal="115" workbookViewId="0">
      <selection activeCell="L3" sqref="L3"/>
    </sheetView>
  </sheetViews>
  <sheetFormatPr defaultRowHeight="12" customHeight="1"/>
  <cols>
    <col min="1" max="1" width="14.6640625" style="318" customWidth="1"/>
    <col min="2" max="3" width="6.88671875" style="324" customWidth="1"/>
    <col min="4" max="4" width="17.88671875" style="324" customWidth="1"/>
    <col min="5" max="5" width="35.88671875" style="324" customWidth="1"/>
    <col min="6" max="6" width="13.109375" style="324" customWidth="1"/>
    <col min="7" max="7" width="5.44140625" style="737" customWidth="1"/>
    <col min="8" max="8" width="10.5546875" style="336" customWidth="1"/>
    <col min="9" max="9" width="9.44140625" style="336" customWidth="1"/>
    <col min="10" max="10" width="8.5546875" style="738" customWidth="1"/>
    <col min="11" max="12" width="8.5546875" style="321" customWidth="1"/>
    <col min="13" max="258" width="8.88671875" style="323"/>
    <col min="259" max="259" width="14.6640625" style="323" customWidth="1"/>
    <col min="260" max="260" width="5.33203125" style="323" customWidth="1"/>
    <col min="261" max="261" width="17.88671875" style="323" customWidth="1"/>
    <col min="262" max="262" width="35.88671875" style="323" customWidth="1"/>
    <col min="263" max="263" width="13.109375" style="323" customWidth="1"/>
    <col min="264" max="264" width="5.44140625" style="323" customWidth="1"/>
    <col min="265" max="265" width="10.5546875" style="323" customWidth="1"/>
    <col min="266" max="266" width="9.44140625" style="323" customWidth="1"/>
    <col min="267" max="268" width="8.5546875" style="323" customWidth="1"/>
    <col min="269" max="514" width="8.88671875" style="323"/>
    <col min="515" max="515" width="14.6640625" style="323" customWidth="1"/>
    <col min="516" max="516" width="5.33203125" style="323" customWidth="1"/>
    <col min="517" max="517" width="17.88671875" style="323" customWidth="1"/>
    <col min="518" max="518" width="35.88671875" style="323" customWidth="1"/>
    <col min="519" max="519" width="13.109375" style="323" customWidth="1"/>
    <col min="520" max="520" width="5.44140625" style="323" customWidth="1"/>
    <col min="521" max="521" width="10.5546875" style="323" customWidth="1"/>
    <col min="522" max="522" width="9.44140625" style="323" customWidth="1"/>
    <col min="523" max="524" width="8.5546875" style="323" customWidth="1"/>
    <col min="525" max="770" width="8.88671875" style="323"/>
    <col min="771" max="771" width="14.6640625" style="323" customWidth="1"/>
    <col min="772" max="772" width="5.33203125" style="323" customWidth="1"/>
    <col min="773" max="773" width="17.88671875" style="323" customWidth="1"/>
    <col min="774" max="774" width="35.88671875" style="323" customWidth="1"/>
    <col min="775" max="775" width="13.109375" style="323" customWidth="1"/>
    <col min="776" max="776" width="5.44140625" style="323" customWidth="1"/>
    <col min="777" max="777" width="10.5546875" style="323" customWidth="1"/>
    <col min="778" max="778" width="9.44140625" style="323" customWidth="1"/>
    <col min="779" max="780" width="8.5546875" style="323" customWidth="1"/>
    <col min="781" max="1026" width="8.88671875" style="323"/>
    <col min="1027" max="1027" width="14.6640625" style="323" customWidth="1"/>
    <col min="1028" max="1028" width="5.33203125" style="323" customWidth="1"/>
    <col min="1029" max="1029" width="17.88671875" style="323" customWidth="1"/>
    <col min="1030" max="1030" width="35.88671875" style="323" customWidth="1"/>
    <col min="1031" max="1031" width="13.109375" style="323" customWidth="1"/>
    <col min="1032" max="1032" width="5.44140625" style="323" customWidth="1"/>
    <col min="1033" max="1033" width="10.5546875" style="323" customWidth="1"/>
    <col min="1034" max="1034" width="9.44140625" style="323" customWidth="1"/>
    <col min="1035" max="1036" width="8.5546875" style="323" customWidth="1"/>
    <col min="1037" max="1282" width="8.88671875" style="323"/>
    <col min="1283" max="1283" width="14.6640625" style="323" customWidth="1"/>
    <col min="1284" max="1284" width="5.33203125" style="323" customWidth="1"/>
    <col min="1285" max="1285" width="17.88671875" style="323" customWidth="1"/>
    <col min="1286" max="1286" width="35.88671875" style="323" customWidth="1"/>
    <col min="1287" max="1287" width="13.109375" style="323" customWidth="1"/>
    <col min="1288" max="1288" width="5.44140625" style="323" customWidth="1"/>
    <col min="1289" max="1289" width="10.5546875" style="323" customWidth="1"/>
    <col min="1290" max="1290" width="9.44140625" style="323" customWidth="1"/>
    <col min="1291" max="1292" width="8.5546875" style="323" customWidth="1"/>
    <col min="1293" max="1538" width="8.88671875" style="323"/>
    <col min="1539" max="1539" width="14.6640625" style="323" customWidth="1"/>
    <col min="1540" max="1540" width="5.33203125" style="323" customWidth="1"/>
    <col min="1541" max="1541" width="17.88671875" style="323" customWidth="1"/>
    <col min="1542" max="1542" width="35.88671875" style="323" customWidth="1"/>
    <col min="1543" max="1543" width="13.109375" style="323" customWidth="1"/>
    <col min="1544" max="1544" width="5.44140625" style="323" customWidth="1"/>
    <col min="1545" max="1545" width="10.5546875" style="323" customWidth="1"/>
    <col min="1546" max="1546" width="9.44140625" style="323" customWidth="1"/>
    <col min="1547" max="1548" width="8.5546875" style="323" customWidth="1"/>
    <col min="1549" max="1794" width="8.88671875" style="323"/>
    <col min="1795" max="1795" width="14.6640625" style="323" customWidth="1"/>
    <col min="1796" max="1796" width="5.33203125" style="323" customWidth="1"/>
    <col min="1797" max="1797" width="17.88671875" style="323" customWidth="1"/>
    <col min="1798" max="1798" width="35.88671875" style="323" customWidth="1"/>
    <col min="1799" max="1799" width="13.109375" style="323" customWidth="1"/>
    <col min="1800" max="1800" width="5.44140625" style="323" customWidth="1"/>
    <col min="1801" max="1801" width="10.5546875" style="323" customWidth="1"/>
    <col min="1802" max="1802" width="9.44140625" style="323" customWidth="1"/>
    <col min="1803" max="1804" width="8.5546875" style="323" customWidth="1"/>
    <col min="1805" max="2050" width="8.88671875" style="323"/>
    <col min="2051" max="2051" width="14.6640625" style="323" customWidth="1"/>
    <col min="2052" max="2052" width="5.33203125" style="323" customWidth="1"/>
    <col min="2053" max="2053" width="17.88671875" style="323" customWidth="1"/>
    <col min="2054" max="2054" width="35.88671875" style="323" customWidth="1"/>
    <col min="2055" max="2055" width="13.109375" style="323" customWidth="1"/>
    <col min="2056" max="2056" width="5.44140625" style="323" customWidth="1"/>
    <col min="2057" max="2057" width="10.5546875" style="323" customWidth="1"/>
    <col min="2058" max="2058" width="9.44140625" style="323" customWidth="1"/>
    <col min="2059" max="2060" width="8.5546875" style="323" customWidth="1"/>
    <col min="2061" max="2306" width="8.88671875" style="323"/>
    <col min="2307" max="2307" width="14.6640625" style="323" customWidth="1"/>
    <col min="2308" max="2308" width="5.33203125" style="323" customWidth="1"/>
    <col min="2309" max="2309" width="17.88671875" style="323" customWidth="1"/>
    <col min="2310" max="2310" width="35.88671875" style="323" customWidth="1"/>
    <col min="2311" max="2311" width="13.109375" style="323" customWidth="1"/>
    <col min="2312" max="2312" width="5.44140625" style="323" customWidth="1"/>
    <col min="2313" max="2313" width="10.5546875" style="323" customWidth="1"/>
    <col min="2314" max="2314" width="9.44140625" style="323" customWidth="1"/>
    <col min="2315" max="2316" width="8.5546875" style="323" customWidth="1"/>
    <col min="2317" max="2562" width="8.88671875" style="323"/>
    <col min="2563" max="2563" width="14.6640625" style="323" customWidth="1"/>
    <col min="2564" max="2564" width="5.33203125" style="323" customWidth="1"/>
    <col min="2565" max="2565" width="17.88671875" style="323" customWidth="1"/>
    <col min="2566" max="2566" width="35.88671875" style="323" customWidth="1"/>
    <col min="2567" max="2567" width="13.109375" style="323" customWidth="1"/>
    <col min="2568" max="2568" width="5.44140625" style="323" customWidth="1"/>
    <col min="2569" max="2569" width="10.5546875" style="323" customWidth="1"/>
    <col min="2570" max="2570" width="9.44140625" style="323" customWidth="1"/>
    <col min="2571" max="2572" width="8.5546875" style="323" customWidth="1"/>
    <col min="2573" max="2818" width="8.88671875" style="323"/>
    <col min="2819" max="2819" width="14.6640625" style="323" customWidth="1"/>
    <col min="2820" max="2820" width="5.33203125" style="323" customWidth="1"/>
    <col min="2821" max="2821" width="17.88671875" style="323" customWidth="1"/>
    <col min="2822" max="2822" width="35.88671875" style="323" customWidth="1"/>
    <col min="2823" max="2823" width="13.109375" style="323" customWidth="1"/>
    <col min="2824" max="2824" width="5.44140625" style="323" customWidth="1"/>
    <col min="2825" max="2825" width="10.5546875" style="323" customWidth="1"/>
    <col min="2826" max="2826" width="9.44140625" style="323" customWidth="1"/>
    <col min="2827" max="2828" width="8.5546875" style="323" customWidth="1"/>
    <col min="2829" max="3074" width="8.88671875" style="323"/>
    <col min="3075" max="3075" width="14.6640625" style="323" customWidth="1"/>
    <col min="3076" max="3076" width="5.33203125" style="323" customWidth="1"/>
    <col min="3077" max="3077" width="17.88671875" style="323" customWidth="1"/>
    <col min="3078" max="3078" width="35.88671875" style="323" customWidth="1"/>
    <col min="3079" max="3079" width="13.109375" style="323" customWidth="1"/>
    <col min="3080" max="3080" width="5.44140625" style="323" customWidth="1"/>
    <col min="3081" max="3081" width="10.5546875" style="323" customWidth="1"/>
    <col min="3082" max="3082" width="9.44140625" style="323" customWidth="1"/>
    <col min="3083" max="3084" width="8.5546875" style="323" customWidth="1"/>
    <col min="3085" max="3330" width="8.88671875" style="323"/>
    <col min="3331" max="3331" width="14.6640625" style="323" customWidth="1"/>
    <col min="3332" max="3332" width="5.33203125" style="323" customWidth="1"/>
    <col min="3333" max="3333" width="17.88671875" style="323" customWidth="1"/>
    <col min="3334" max="3334" width="35.88671875" style="323" customWidth="1"/>
    <col min="3335" max="3335" width="13.109375" style="323" customWidth="1"/>
    <col min="3336" max="3336" width="5.44140625" style="323" customWidth="1"/>
    <col min="3337" max="3337" width="10.5546875" style="323" customWidth="1"/>
    <col min="3338" max="3338" width="9.44140625" style="323" customWidth="1"/>
    <col min="3339" max="3340" width="8.5546875" style="323" customWidth="1"/>
    <col min="3341" max="3586" width="8.88671875" style="323"/>
    <col min="3587" max="3587" width="14.6640625" style="323" customWidth="1"/>
    <col min="3588" max="3588" width="5.33203125" style="323" customWidth="1"/>
    <col min="3589" max="3589" width="17.88671875" style="323" customWidth="1"/>
    <col min="3590" max="3590" width="35.88671875" style="323" customWidth="1"/>
    <col min="3591" max="3591" width="13.109375" style="323" customWidth="1"/>
    <col min="3592" max="3592" width="5.44140625" style="323" customWidth="1"/>
    <col min="3593" max="3593" width="10.5546875" style="323" customWidth="1"/>
    <col min="3594" max="3594" width="9.44140625" style="323" customWidth="1"/>
    <col min="3595" max="3596" width="8.5546875" style="323" customWidth="1"/>
    <col min="3597" max="3842" width="8.88671875" style="323"/>
    <col min="3843" max="3843" width="14.6640625" style="323" customWidth="1"/>
    <col min="3844" max="3844" width="5.33203125" style="323" customWidth="1"/>
    <col min="3845" max="3845" width="17.88671875" style="323" customWidth="1"/>
    <col min="3846" max="3846" width="35.88671875" style="323" customWidth="1"/>
    <col min="3847" max="3847" width="13.109375" style="323" customWidth="1"/>
    <col min="3848" max="3848" width="5.44140625" style="323" customWidth="1"/>
    <col min="3849" max="3849" width="10.5546875" style="323" customWidth="1"/>
    <col min="3850" max="3850" width="9.44140625" style="323" customWidth="1"/>
    <col min="3851" max="3852" width="8.5546875" style="323" customWidth="1"/>
    <col min="3853" max="4098" width="8.88671875" style="323"/>
    <col min="4099" max="4099" width="14.6640625" style="323" customWidth="1"/>
    <col min="4100" max="4100" width="5.33203125" style="323" customWidth="1"/>
    <col min="4101" max="4101" width="17.88671875" style="323" customWidth="1"/>
    <col min="4102" max="4102" width="35.88671875" style="323" customWidth="1"/>
    <col min="4103" max="4103" width="13.109375" style="323" customWidth="1"/>
    <col min="4104" max="4104" width="5.44140625" style="323" customWidth="1"/>
    <col min="4105" max="4105" width="10.5546875" style="323" customWidth="1"/>
    <col min="4106" max="4106" width="9.44140625" style="323" customWidth="1"/>
    <col min="4107" max="4108" width="8.5546875" style="323" customWidth="1"/>
    <col min="4109" max="4354" width="8.88671875" style="323"/>
    <col min="4355" max="4355" width="14.6640625" style="323" customWidth="1"/>
    <col min="4356" max="4356" width="5.33203125" style="323" customWidth="1"/>
    <col min="4357" max="4357" width="17.88671875" style="323" customWidth="1"/>
    <col min="4358" max="4358" width="35.88671875" style="323" customWidth="1"/>
    <col min="4359" max="4359" width="13.109375" style="323" customWidth="1"/>
    <col min="4360" max="4360" width="5.44140625" style="323" customWidth="1"/>
    <col min="4361" max="4361" width="10.5546875" style="323" customWidth="1"/>
    <col min="4362" max="4362" width="9.44140625" style="323" customWidth="1"/>
    <col min="4363" max="4364" width="8.5546875" style="323" customWidth="1"/>
    <col min="4365" max="4610" width="8.88671875" style="323"/>
    <col min="4611" max="4611" width="14.6640625" style="323" customWidth="1"/>
    <col min="4612" max="4612" width="5.33203125" style="323" customWidth="1"/>
    <col min="4613" max="4613" width="17.88671875" style="323" customWidth="1"/>
    <col min="4614" max="4614" width="35.88671875" style="323" customWidth="1"/>
    <col min="4615" max="4615" width="13.109375" style="323" customWidth="1"/>
    <col min="4616" max="4616" width="5.44140625" style="323" customWidth="1"/>
    <col min="4617" max="4617" width="10.5546875" style="323" customWidth="1"/>
    <col min="4618" max="4618" width="9.44140625" style="323" customWidth="1"/>
    <col min="4619" max="4620" width="8.5546875" style="323" customWidth="1"/>
    <col min="4621" max="4866" width="8.88671875" style="323"/>
    <col min="4867" max="4867" width="14.6640625" style="323" customWidth="1"/>
    <col min="4868" max="4868" width="5.33203125" style="323" customWidth="1"/>
    <col min="4869" max="4869" width="17.88671875" style="323" customWidth="1"/>
    <col min="4870" max="4870" width="35.88671875" style="323" customWidth="1"/>
    <col min="4871" max="4871" width="13.109375" style="323" customWidth="1"/>
    <col min="4872" max="4872" width="5.44140625" style="323" customWidth="1"/>
    <col min="4873" max="4873" width="10.5546875" style="323" customWidth="1"/>
    <col min="4874" max="4874" width="9.44140625" style="323" customWidth="1"/>
    <col min="4875" max="4876" width="8.5546875" style="323" customWidth="1"/>
    <col min="4877" max="5122" width="8.88671875" style="323"/>
    <col min="5123" max="5123" width="14.6640625" style="323" customWidth="1"/>
    <col min="5124" max="5124" width="5.33203125" style="323" customWidth="1"/>
    <col min="5125" max="5125" width="17.88671875" style="323" customWidth="1"/>
    <col min="5126" max="5126" width="35.88671875" style="323" customWidth="1"/>
    <col min="5127" max="5127" width="13.109375" style="323" customWidth="1"/>
    <col min="5128" max="5128" width="5.44140625" style="323" customWidth="1"/>
    <col min="5129" max="5129" width="10.5546875" style="323" customWidth="1"/>
    <col min="5130" max="5130" width="9.44140625" style="323" customWidth="1"/>
    <col min="5131" max="5132" width="8.5546875" style="323" customWidth="1"/>
    <col min="5133" max="5378" width="8.88671875" style="323"/>
    <col min="5379" max="5379" width="14.6640625" style="323" customWidth="1"/>
    <col min="5380" max="5380" width="5.33203125" style="323" customWidth="1"/>
    <col min="5381" max="5381" width="17.88671875" style="323" customWidth="1"/>
    <col min="5382" max="5382" width="35.88671875" style="323" customWidth="1"/>
    <col min="5383" max="5383" width="13.109375" style="323" customWidth="1"/>
    <col min="5384" max="5384" width="5.44140625" style="323" customWidth="1"/>
    <col min="5385" max="5385" width="10.5546875" style="323" customWidth="1"/>
    <col min="5386" max="5386" width="9.44140625" style="323" customWidth="1"/>
    <col min="5387" max="5388" width="8.5546875" style="323" customWidth="1"/>
    <col min="5389" max="5634" width="8.88671875" style="323"/>
    <col min="5635" max="5635" width="14.6640625" style="323" customWidth="1"/>
    <col min="5636" max="5636" width="5.33203125" style="323" customWidth="1"/>
    <col min="5637" max="5637" width="17.88671875" style="323" customWidth="1"/>
    <col min="5638" max="5638" width="35.88671875" style="323" customWidth="1"/>
    <col min="5639" max="5639" width="13.109375" style="323" customWidth="1"/>
    <col min="5640" max="5640" width="5.44140625" style="323" customWidth="1"/>
    <col min="5641" max="5641" width="10.5546875" style="323" customWidth="1"/>
    <col min="5642" max="5642" width="9.44140625" style="323" customWidth="1"/>
    <col min="5643" max="5644" width="8.5546875" style="323" customWidth="1"/>
    <col min="5645" max="5890" width="8.88671875" style="323"/>
    <col min="5891" max="5891" width="14.6640625" style="323" customWidth="1"/>
    <col min="5892" max="5892" width="5.33203125" style="323" customWidth="1"/>
    <col min="5893" max="5893" width="17.88671875" style="323" customWidth="1"/>
    <col min="5894" max="5894" width="35.88671875" style="323" customWidth="1"/>
    <col min="5895" max="5895" width="13.109375" style="323" customWidth="1"/>
    <col min="5896" max="5896" width="5.44140625" style="323" customWidth="1"/>
    <col min="5897" max="5897" width="10.5546875" style="323" customWidth="1"/>
    <col min="5898" max="5898" width="9.44140625" style="323" customWidth="1"/>
    <col min="5899" max="5900" width="8.5546875" style="323" customWidth="1"/>
    <col min="5901" max="6146" width="8.88671875" style="323"/>
    <col min="6147" max="6147" width="14.6640625" style="323" customWidth="1"/>
    <col min="6148" max="6148" width="5.33203125" style="323" customWidth="1"/>
    <col min="6149" max="6149" width="17.88671875" style="323" customWidth="1"/>
    <col min="6150" max="6150" width="35.88671875" style="323" customWidth="1"/>
    <col min="6151" max="6151" width="13.109375" style="323" customWidth="1"/>
    <col min="6152" max="6152" width="5.44140625" style="323" customWidth="1"/>
    <col min="6153" max="6153" width="10.5546875" style="323" customWidth="1"/>
    <col min="6154" max="6154" width="9.44140625" style="323" customWidth="1"/>
    <col min="6155" max="6156" width="8.5546875" style="323" customWidth="1"/>
    <col min="6157" max="6402" width="8.88671875" style="323"/>
    <col min="6403" max="6403" width="14.6640625" style="323" customWidth="1"/>
    <col min="6404" max="6404" width="5.33203125" style="323" customWidth="1"/>
    <col min="6405" max="6405" width="17.88671875" style="323" customWidth="1"/>
    <col min="6406" max="6406" width="35.88671875" style="323" customWidth="1"/>
    <col min="6407" max="6407" width="13.109375" style="323" customWidth="1"/>
    <col min="6408" max="6408" width="5.44140625" style="323" customWidth="1"/>
    <col min="6409" max="6409" width="10.5546875" style="323" customWidth="1"/>
    <col min="6410" max="6410" width="9.44140625" style="323" customWidth="1"/>
    <col min="6411" max="6412" width="8.5546875" style="323" customWidth="1"/>
    <col min="6413" max="6658" width="8.88671875" style="323"/>
    <col min="6659" max="6659" width="14.6640625" style="323" customWidth="1"/>
    <col min="6660" max="6660" width="5.33203125" style="323" customWidth="1"/>
    <col min="6661" max="6661" width="17.88671875" style="323" customWidth="1"/>
    <col min="6662" max="6662" width="35.88671875" style="323" customWidth="1"/>
    <col min="6663" max="6663" width="13.109375" style="323" customWidth="1"/>
    <col min="6664" max="6664" width="5.44140625" style="323" customWidth="1"/>
    <col min="6665" max="6665" width="10.5546875" style="323" customWidth="1"/>
    <col min="6666" max="6666" width="9.44140625" style="323" customWidth="1"/>
    <col min="6667" max="6668" width="8.5546875" style="323" customWidth="1"/>
    <col min="6669" max="6914" width="8.88671875" style="323"/>
    <col min="6915" max="6915" width="14.6640625" style="323" customWidth="1"/>
    <col min="6916" max="6916" width="5.33203125" style="323" customWidth="1"/>
    <col min="6917" max="6917" width="17.88671875" style="323" customWidth="1"/>
    <col min="6918" max="6918" width="35.88671875" style="323" customWidth="1"/>
    <col min="6919" max="6919" width="13.109375" style="323" customWidth="1"/>
    <col min="6920" max="6920" width="5.44140625" style="323" customWidth="1"/>
    <col min="6921" max="6921" width="10.5546875" style="323" customWidth="1"/>
    <col min="6922" max="6922" width="9.44140625" style="323" customWidth="1"/>
    <col min="6923" max="6924" width="8.5546875" style="323" customWidth="1"/>
    <col min="6925" max="7170" width="8.88671875" style="323"/>
    <col min="7171" max="7171" width="14.6640625" style="323" customWidth="1"/>
    <col min="7172" max="7172" width="5.33203125" style="323" customWidth="1"/>
    <col min="7173" max="7173" width="17.88671875" style="323" customWidth="1"/>
    <col min="7174" max="7174" width="35.88671875" style="323" customWidth="1"/>
    <col min="7175" max="7175" width="13.109375" style="323" customWidth="1"/>
    <col min="7176" max="7176" width="5.44140625" style="323" customWidth="1"/>
    <col min="7177" max="7177" width="10.5546875" style="323" customWidth="1"/>
    <col min="7178" max="7178" width="9.44140625" style="323" customWidth="1"/>
    <col min="7179" max="7180" width="8.5546875" style="323" customWidth="1"/>
    <col min="7181" max="7426" width="8.88671875" style="323"/>
    <col min="7427" max="7427" width="14.6640625" style="323" customWidth="1"/>
    <col min="7428" max="7428" width="5.33203125" style="323" customWidth="1"/>
    <col min="7429" max="7429" width="17.88671875" style="323" customWidth="1"/>
    <col min="7430" max="7430" width="35.88671875" style="323" customWidth="1"/>
    <col min="7431" max="7431" width="13.109375" style="323" customWidth="1"/>
    <col min="7432" max="7432" width="5.44140625" style="323" customWidth="1"/>
    <col min="7433" max="7433" width="10.5546875" style="323" customWidth="1"/>
    <col min="7434" max="7434" width="9.44140625" style="323" customWidth="1"/>
    <col min="7435" max="7436" width="8.5546875" style="323" customWidth="1"/>
    <col min="7437" max="7682" width="8.88671875" style="323"/>
    <col min="7683" max="7683" width="14.6640625" style="323" customWidth="1"/>
    <col min="7684" max="7684" width="5.33203125" style="323" customWidth="1"/>
    <col min="7685" max="7685" width="17.88671875" style="323" customWidth="1"/>
    <col min="7686" max="7686" width="35.88671875" style="323" customWidth="1"/>
    <col min="7687" max="7687" width="13.109375" style="323" customWidth="1"/>
    <col min="7688" max="7688" width="5.44140625" style="323" customWidth="1"/>
    <col min="7689" max="7689" width="10.5546875" style="323" customWidth="1"/>
    <col min="7690" max="7690" width="9.44140625" style="323" customWidth="1"/>
    <col min="7691" max="7692" width="8.5546875" style="323" customWidth="1"/>
    <col min="7693" max="7938" width="8.88671875" style="323"/>
    <col min="7939" max="7939" width="14.6640625" style="323" customWidth="1"/>
    <col min="7940" max="7940" width="5.33203125" style="323" customWidth="1"/>
    <col min="7941" max="7941" width="17.88671875" style="323" customWidth="1"/>
    <col min="7942" max="7942" width="35.88671875" style="323" customWidth="1"/>
    <col min="7943" max="7943" width="13.109375" style="323" customWidth="1"/>
    <col min="7944" max="7944" width="5.44140625" style="323" customWidth="1"/>
    <col min="7945" max="7945" width="10.5546875" style="323" customWidth="1"/>
    <col min="7946" max="7946" width="9.44140625" style="323" customWidth="1"/>
    <col min="7947" max="7948" width="8.5546875" style="323" customWidth="1"/>
    <col min="7949" max="8194" width="8.88671875" style="323"/>
    <col min="8195" max="8195" width="14.6640625" style="323" customWidth="1"/>
    <col min="8196" max="8196" width="5.33203125" style="323" customWidth="1"/>
    <col min="8197" max="8197" width="17.88671875" style="323" customWidth="1"/>
    <col min="8198" max="8198" width="35.88671875" style="323" customWidth="1"/>
    <col min="8199" max="8199" width="13.109375" style="323" customWidth="1"/>
    <col min="8200" max="8200" width="5.44140625" style="323" customWidth="1"/>
    <col min="8201" max="8201" width="10.5546875" style="323" customWidth="1"/>
    <col min="8202" max="8202" width="9.44140625" style="323" customWidth="1"/>
    <col min="8203" max="8204" width="8.5546875" style="323" customWidth="1"/>
    <col min="8205" max="8450" width="8.88671875" style="323"/>
    <col min="8451" max="8451" width="14.6640625" style="323" customWidth="1"/>
    <col min="8452" max="8452" width="5.33203125" style="323" customWidth="1"/>
    <col min="8453" max="8453" width="17.88671875" style="323" customWidth="1"/>
    <col min="8454" max="8454" width="35.88671875" style="323" customWidth="1"/>
    <col min="8455" max="8455" width="13.109375" style="323" customWidth="1"/>
    <col min="8456" max="8456" width="5.44140625" style="323" customWidth="1"/>
    <col min="8457" max="8457" width="10.5546875" style="323" customWidth="1"/>
    <col min="8458" max="8458" width="9.44140625" style="323" customWidth="1"/>
    <col min="8459" max="8460" width="8.5546875" style="323" customWidth="1"/>
    <col min="8461" max="8706" width="8.88671875" style="323"/>
    <col min="8707" max="8707" width="14.6640625" style="323" customWidth="1"/>
    <col min="8708" max="8708" width="5.33203125" style="323" customWidth="1"/>
    <col min="8709" max="8709" width="17.88671875" style="323" customWidth="1"/>
    <col min="8710" max="8710" width="35.88671875" style="323" customWidth="1"/>
    <col min="8711" max="8711" width="13.109375" style="323" customWidth="1"/>
    <col min="8712" max="8712" width="5.44140625" style="323" customWidth="1"/>
    <col min="8713" max="8713" width="10.5546875" style="323" customWidth="1"/>
    <col min="8714" max="8714" width="9.44140625" style="323" customWidth="1"/>
    <col min="8715" max="8716" width="8.5546875" style="323" customWidth="1"/>
    <col min="8717" max="8962" width="8.88671875" style="323"/>
    <col min="8963" max="8963" width="14.6640625" style="323" customWidth="1"/>
    <col min="8964" max="8964" width="5.33203125" style="323" customWidth="1"/>
    <col min="8965" max="8965" width="17.88671875" style="323" customWidth="1"/>
    <col min="8966" max="8966" width="35.88671875" style="323" customWidth="1"/>
    <col min="8967" max="8967" width="13.109375" style="323" customWidth="1"/>
    <col min="8968" max="8968" width="5.44140625" style="323" customWidth="1"/>
    <col min="8969" max="8969" width="10.5546875" style="323" customWidth="1"/>
    <col min="8970" max="8970" width="9.44140625" style="323" customWidth="1"/>
    <col min="8971" max="8972" width="8.5546875" style="323" customWidth="1"/>
    <col min="8973" max="9218" width="8.88671875" style="323"/>
    <col min="9219" max="9219" width="14.6640625" style="323" customWidth="1"/>
    <col min="9220" max="9220" width="5.33203125" style="323" customWidth="1"/>
    <col min="9221" max="9221" width="17.88671875" style="323" customWidth="1"/>
    <col min="9222" max="9222" width="35.88671875" style="323" customWidth="1"/>
    <col min="9223" max="9223" width="13.109375" style="323" customWidth="1"/>
    <col min="9224" max="9224" width="5.44140625" style="323" customWidth="1"/>
    <col min="9225" max="9225" width="10.5546875" style="323" customWidth="1"/>
    <col min="9226" max="9226" width="9.44140625" style="323" customWidth="1"/>
    <col min="9227" max="9228" width="8.5546875" style="323" customWidth="1"/>
    <col min="9229" max="9474" width="8.88671875" style="323"/>
    <col min="9475" max="9475" width="14.6640625" style="323" customWidth="1"/>
    <col min="9476" max="9476" width="5.33203125" style="323" customWidth="1"/>
    <col min="9477" max="9477" width="17.88671875" style="323" customWidth="1"/>
    <col min="9478" max="9478" width="35.88671875" style="323" customWidth="1"/>
    <col min="9479" max="9479" width="13.109375" style="323" customWidth="1"/>
    <col min="9480" max="9480" width="5.44140625" style="323" customWidth="1"/>
    <col min="9481" max="9481" width="10.5546875" style="323" customWidth="1"/>
    <col min="9482" max="9482" width="9.44140625" style="323" customWidth="1"/>
    <col min="9483" max="9484" width="8.5546875" style="323" customWidth="1"/>
    <col min="9485" max="9730" width="8.88671875" style="323"/>
    <col min="9731" max="9731" width="14.6640625" style="323" customWidth="1"/>
    <col min="9732" max="9732" width="5.33203125" style="323" customWidth="1"/>
    <col min="9733" max="9733" width="17.88671875" style="323" customWidth="1"/>
    <col min="9734" max="9734" width="35.88671875" style="323" customWidth="1"/>
    <col min="9735" max="9735" width="13.109375" style="323" customWidth="1"/>
    <col min="9736" max="9736" width="5.44140625" style="323" customWidth="1"/>
    <col min="9737" max="9737" width="10.5546875" style="323" customWidth="1"/>
    <col min="9738" max="9738" width="9.44140625" style="323" customWidth="1"/>
    <col min="9739" max="9740" width="8.5546875" style="323" customWidth="1"/>
    <col min="9741" max="9986" width="8.88671875" style="323"/>
    <col min="9987" max="9987" width="14.6640625" style="323" customWidth="1"/>
    <col min="9988" max="9988" width="5.33203125" style="323" customWidth="1"/>
    <col min="9989" max="9989" width="17.88671875" style="323" customWidth="1"/>
    <col min="9990" max="9990" width="35.88671875" style="323" customWidth="1"/>
    <col min="9991" max="9991" width="13.109375" style="323" customWidth="1"/>
    <col min="9992" max="9992" width="5.44140625" style="323" customWidth="1"/>
    <col min="9993" max="9993" width="10.5546875" style="323" customWidth="1"/>
    <col min="9994" max="9994" width="9.44140625" style="323" customWidth="1"/>
    <col min="9995" max="9996" width="8.5546875" style="323" customWidth="1"/>
    <col min="9997" max="10242" width="8.88671875" style="323"/>
    <col min="10243" max="10243" width="14.6640625" style="323" customWidth="1"/>
    <col min="10244" max="10244" width="5.33203125" style="323" customWidth="1"/>
    <col min="10245" max="10245" width="17.88671875" style="323" customWidth="1"/>
    <col min="10246" max="10246" width="35.88671875" style="323" customWidth="1"/>
    <col min="10247" max="10247" width="13.109375" style="323" customWidth="1"/>
    <col min="10248" max="10248" width="5.44140625" style="323" customWidth="1"/>
    <col min="10249" max="10249" width="10.5546875" style="323" customWidth="1"/>
    <col min="10250" max="10250" width="9.44140625" style="323" customWidth="1"/>
    <col min="10251" max="10252" width="8.5546875" style="323" customWidth="1"/>
    <col min="10253" max="10498" width="8.88671875" style="323"/>
    <col min="10499" max="10499" width="14.6640625" style="323" customWidth="1"/>
    <col min="10500" max="10500" width="5.33203125" style="323" customWidth="1"/>
    <col min="10501" max="10501" width="17.88671875" style="323" customWidth="1"/>
    <col min="10502" max="10502" width="35.88671875" style="323" customWidth="1"/>
    <col min="10503" max="10503" width="13.109375" style="323" customWidth="1"/>
    <col min="10504" max="10504" width="5.44140625" style="323" customWidth="1"/>
    <col min="10505" max="10505" width="10.5546875" style="323" customWidth="1"/>
    <col min="10506" max="10506" width="9.44140625" style="323" customWidth="1"/>
    <col min="10507" max="10508" width="8.5546875" style="323" customWidth="1"/>
    <col min="10509" max="10754" width="8.88671875" style="323"/>
    <col min="10755" max="10755" width="14.6640625" style="323" customWidth="1"/>
    <col min="10756" max="10756" width="5.33203125" style="323" customWidth="1"/>
    <col min="10757" max="10757" width="17.88671875" style="323" customWidth="1"/>
    <col min="10758" max="10758" width="35.88671875" style="323" customWidth="1"/>
    <col min="10759" max="10759" width="13.109375" style="323" customWidth="1"/>
    <col min="10760" max="10760" width="5.44140625" style="323" customWidth="1"/>
    <col min="10761" max="10761" width="10.5546875" style="323" customWidth="1"/>
    <col min="10762" max="10762" width="9.44140625" style="323" customWidth="1"/>
    <col min="10763" max="10764" width="8.5546875" style="323" customWidth="1"/>
    <col min="10765" max="11010" width="8.88671875" style="323"/>
    <col min="11011" max="11011" width="14.6640625" style="323" customWidth="1"/>
    <col min="11012" max="11012" width="5.33203125" style="323" customWidth="1"/>
    <col min="11013" max="11013" width="17.88671875" style="323" customWidth="1"/>
    <col min="11014" max="11014" width="35.88671875" style="323" customWidth="1"/>
    <col min="11015" max="11015" width="13.109375" style="323" customWidth="1"/>
    <col min="11016" max="11016" width="5.44140625" style="323" customWidth="1"/>
    <col min="11017" max="11017" width="10.5546875" style="323" customWidth="1"/>
    <col min="11018" max="11018" width="9.44140625" style="323" customWidth="1"/>
    <col min="11019" max="11020" width="8.5546875" style="323" customWidth="1"/>
    <col min="11021" max="11266" width="8.88671875" style="323"/>
    <col min="11267" max="11267" width="14.6640625" style="323" customWidth="1"/>
    <col min="11268" max="11268" width="5.33203125" style="323" customWidth="1"/>
    <col min="11269" max="11269" width="17.88671875" style="323" customWidth="1"/>
    <col min="11270" max="11270" width="35.88671875" style="323" customWidth="1"/>
    <col min="11271" max="11271" width="13.109375" style="323" customWidth="1"/>
    <col min="11272" max="11272" width="5.44140625" style="323" customWidth="1"/>
    <col min="11273" max="11273" width="10.5546875" style="323" customWidth="1"/>
    <col min="11274" max="11274" width="9.44140625" style="323" customWidth="1"/>
    <col min="11275" max="11276" width="8.5546875" style="323" customWidth="1"/>
    <col min="11277" max="11522" width="8.88671875" style="323"/>
    <col min="11523" max="11523" width="14.6640625" style="323" customWidth="1"/>
    <col min="11524" max="11524" width="5.33203125" style="323" customWidth="1"/>
    <col min="11525" max="11525" width="17.88671875" style="323" customWidth="1"/>
    <col min="11526" max="11526" width="35.88671875" style="323" customWidth="1"/>
    <col min="11527" max="11527" width="13.109375" style="323" customWidth="1"/>
    <col min="11528" max="11528" width="5.44140625" style="323" customWidth="1"/>
    <col min="11529" max="11529" width="10.5546875" style="323" customWidth="1"/>
    <col min="11530" max="11530" width="9.44140625" style="323" customWidth="1"/>
    <col min="11531" max="11532" width="8.5546875" style="323" customWidth="1"/>
    <col min="11533" max="11778" width="8.88671875" style="323"/>
    <col min="11779" max="11779" width="14.6640625" style="323" customWidth="1"/>
    <col min="11780" max="11780" width="5.33203125" style="323" customWidth="1"/>
    <col min="11781" max="11781" width="17.88671875" style="323" customWidth="1"/>
    <col min="11782" max="11782" width="35.88671875" style="323" customWidth="1"/>
    <col min="11783" max="11783" width="13.109375" style="323" customWidth="1"/>
    <col min="11784" max="11784" width="5.44140625" style="323" customWidth="1"/>
    <col min="11785" max="11785" width="10.5546875" style="323" customWidth="1"/>
    <col min="11786" max="11786" width="9.44140625" style="323" customWidth="1"/>
    <col min="11787" max="11788" width="8.5546875" style="323" customWidth="1"/>
    <col min="11789" max="12034" width="8.88671875" style="323"/>
    <col min="12035" max="12035" width="14.6640625" style="323" customWidth="1"/>
    <col min="12036" max="12036" width="5.33203125" style="323" customWidth="1"/>
    <col min="12037" max="12037" width="17.88671875" style="323" customWidth="1"/>
    <col min="12038" max="12038" width="35.88671875" style="323" customWidth="1"/>
    <col min="12039" max="12039" width="13.109375" style="323" customWidth="1"/>
    <col min="12040" max="12040" width="5.44140625" style="323" customWidth="1"/>
    <col min="12041" max="12041" width="10.5546875" style="323" customWidth="1"/>
    <col min="12042" max="12042" width="9.44140625" style="323" customWidth="1"/>
    <col min="12043" max="12044" width="8.5546875" style="323" customWidth="1"/>
    <col min="12045" max="12290" width="8.88671875" style="323"/>
    <col min="12291" max="12291" width="14.6640625" style="323" customWidth="1"/>
    <col min="12292" max="12292" width="5.33203125" style="323" customWidth="1"/>
    <col min="12293" max="12293" width="17.88671875" style="323" customWidth="1"/>
    <col min="12294" max="12294" width="35.88671875" style="323" customWidth="1"/>
    <col min="12295" max="12295" width="13.109375" style="323" customWidth="1"/>
    <col min="12296" max="12296" width="5.44140625" style="323" customWidth="1"/>
    <col min="12297" max="12297" width="10.5546875" style="323" customWidth="1"/>
    <col min="12298" max="12298" width="9.44140625" style="323" customWidth="1"/>
    <col min="12299" max="12300" width="8.5546875" style="323" customWidth="1"/>
    <col min="12301" max="12546" width="8.88671875" style="323"/>
    <col min="12547" max="12547" width="14.6640625" style="323" customWidth="1"/>
    <col min="12548" max="12548" width="5.33203125" style="323" customWidth="1"/>
    <col min="12549" max="12549" width="17.88671875" style="323" customWidth="1"/>
    <col min="12550" max="12550" width="35.88671875" style="323" customWidth="1"/>
    <col min="12551" max="12551" width="13.109375" style="323" customWidth="1"/>
    <col min="12552" max="12552" width="5.44140625" style="323" customWidth="1"/>
    <col min="12553" max="12553" width="10.5546875" style="323" customWidth="1"/>
    <col min="12554" max="12554" width="9.44140625" style="323" customWidth="1"/>
    <col min="12555" max="12556" width="8.5546875" style="323" customWidth="1"/>
    <col min="12557" max="12802" width="8.88671875" style="323"/>
    <col min="12803" max="12803" width="14.6640625" style="323" customWidth="1"/>
    <col min="12804" max="12804" width="5.33203125" style="323" customWidth="1"/>
    <col min="12805" max="12805" width="17.88671875" style="323" customWidth="1"/>
    <col min="12806" max="12806" width="35.88671875" style="323" customWidth="1"/>
    <col min="12807" max="12807" width="13.109375" style="323" customWidth="1"/>
    <col min="12808" max="12808" width="5.44140625" style="323" customWidth="1"/>
    <col min="12809" max="12809" width="10.5546875" style="323" customWidth="1"/>
    <col min="12810" max="12810" width="9.44140625" style="323" customWidth="1"/>
    <col min="12811" max="12812" width="8.5546875" style="323" customWidth="1"/>
    <col min="12813" max="13058" width="8.88671875" style="323"/>
    <col min="13059" max="13059" width="14.6640625" style="323" customWidth="1"/>
    <col min="13060" max="13060" width="5.33203125" style="323" customWidth="1"/>
    <col min="13061" max="13061" width="17.88671875" style="323" customWidth="1"/>
    <col min="13062" max="13062" width="35.88671875" style="323" customWidth="1"/>
    <col min="13063" max="13063" width="13.109375" style="323" customWidth="1"/>
    <col min="13064" max="13064" width="5.44140625" style="323" customWidth="1"/>
    <col min="13065" max="13065" width="10.5546875" style="323" customWidth="1"/>
    <col min="13066" max="13066" width="9.44140625" style="323" customWidth="1"/>
    <col min="13067" max="13068" width="8.5546875" style="323" customWidth="1"/>
    <col min="13069" max="13314" width="8.88671875" style="323"/>
    <col min="13315" max="13315" width="14.6640625" style="323" customWidth="1"/>
    <col min="13316" max="13316" width="5.33203125" style="323" customWidth="1"/>
    <col min="13317" max="13317" width="17.88671875" style="323" customWidth="1"/>
    <col min="13318" max="13318" width="35.88671875" style="323" customWidth="1"/>
    <col min="13319" max="13319" width="13.109375" style="323" customWidth="1"/>
    <col min="13320" max="13320" width="5.44140625" style="323" customWidth="1"/>
    <col min="13321" max="13321" width="10.5546875" style="323" customWidth="1"/>
    <col min="13322" max="13322" width="9.44140625" style="323" customWidth="1"/>
    <col min="13323" max="13324" width="8.5546875" style="323" customWidth="1"/>
    <col min="13325" max="13570" width="8.88671875" style="323"/>
    <col min="13571" max="13571" width="14.6640625" style="323" customWidth="1"/>
    <col min="13572" max="13572" width="5.33203125" style="323" customWidth="1"/>
    <col min="13573" max="13573" width="17.88671875" style="323" customWidth="1"/>
    <col min="13574" max="13574" width="35.88671875" style="323" customWidth="1"/>
    <col min="13575" max="13575" width="13.109375" style="323" customWidth="1"/>
    <col min="13576" max="13576" width="5.44140625" style="323" customWidth="1"/>
    <col min="13577" max="13577" width="10.5546875" style="323" customWidth="1"/>
    <col min="13578" max="13578" width="9.44140625" style="323" customWidth="1"/>
    <col min="13579" max="13580" width="8.5546875" style="323" customWidth="1"/>
    <col min="13581" max="13826" width="8.88671875" style="323"/>
    <col min="13827" max="13827" width="14.6640625" style="323" customWidth="1"/>
    <col min="13828" max="13828" width="5.33203125" style="323" customWidth="1"/>
    <col min="13829" max="13829" width="17.88671875" style="323" customWidth="1"/>
    <col min="13830" max="13830" width="35.88671875" style="323" customWidth="1"/>
    <col min="13831" max="13831" width="13.109375" style="323" customWidth="1"/>
    <col min="13832" max="13832" width="5.44140625" style="323" customWidth="1"/>
    <col min="13833" max="13833" width="10.5546875" style="323" customWidth="1"/>
    <col min="13834" max="13834" width="9.44140625" style="323" customWidth="1"/>
    <col min="13835" max="13836" width="8.5546875" style="323" customWidth="1"/>
    <col min="13837" max="14082" width="8.88671875" style="323"/>
    <col min="14083" max="14083" width="14.6640625" style="323" customWidth="1"/>
    <col min="14084" max="14084" width="5.33203125" style="323" customWidth="1"/>
    <col min="14085" max="14085" width="17.88671875" style="323" customWidth="1"/>
    <col min="14086" max="14086" width="35.88671875" style="323" customWidth="1"/>
    <col min="14087" max="14087" width="13.109375" style="323" customWidth="1"/>
    <col min="14088" max="14088" width="5.44140625" style="323" customWidth="1"/>
    <col min="14089" max="14089" width="10.5546875" style="323" customWidth="1"/>
    <col min="14090" max="14090" width="9.44140625" style="323" customWidth="1"/>
    <col min="14091" max="14092" width="8.5546875" style="323" customWidth="1"/>
    <col min="14093" max="14338" width="8.88671875" style="323"/>
    <col min="14339" max="14339" width="14.6640625" style="323" customWidth="1"/>
    <col min="14340" max="14340" width="5.33203125" style="323" customWidth="1"/>
    <col min="14341" max="14341" width="17.88671875" style="323" customWidth="1"/>
    <col min="14342" max="14342" width="35.88671875" style="323" customWidth="1"/>
    <col min="14343" max="14343" width="13.109375" style="323" customWidth="1"/>
    <col min="14344" max="14344" width="5.44140625" style="323" customWidth="1"/>
    <col min="14345" max="14345" width="10.5546875" style="323" customWidth="1"/>
    <col min="14346" max="14346" width="9.44140625" style="323" customWidth="1"/>
    <col min="14347" max="14348" width="8.5546875" style="323" customWidth="1"/>
    <col min="14349" max="14594" width="8.88671875" style="323"/>
    <col min="14595" max="14595" width="14.6640625" style="323" customWidth="1"/>
    <col min="14596" max="14596" width="5.33203125" style="323" customWidth="1"/>
    <col min="14597" max="14597" width="17.88671875" style="323" customWidth="1"/>
    <col min="14598" max="14598" width="35.88671875" style="323" customWidth="1"/>
    <col min="14599" max="14599" width="13.109375" style="323" customWidth="1"/>
    <col min="14600" max="14600" width="5.44140625" style="323" customWidth="1"/>
    <col min="14601" max="14601" width="10.5546875" style="323" customWidth="1"/>
    <col min="14602" max="14602" width="9.44140625" style="323" customWidth="1"/>
    <col min="14603" max="14604" width="8.5546875" style="323" customWidth="1"/>
    <col min="14605" max="14850" width="8.88671875" style="323"/>
    <col min="14851" max="14851" width="14.6640625" style="323" customWidth="1"/>
    <col min="14852" max="14852" width="5.33203125" style="323" customWidth="1"/>
    <col min="14853" max="14853" width="17.88671875" style="323" customWidth="1"/>
    <col min="14854" max="14854" width="35.88671875" style="323" customWidth="1"/>
    <col min="14855" max="14855" width="13.109375" style="323" customWidth="1"/>
    <col min="14856" max="14856" width="5.44140625" style="323" customWidth="1"/>
    <col min="14857" max="14857" width="10.5546875" style="323" customWidth="1"/>
    <col min="14858" max="14858" width="9.44140625" style="323" customWidth="1"/>
    <col min="14859" max="14860" width="8.5546875" style="323" customWidth="1"/>
    <col min="14861" max="15106" width="8.88671875" style="323"/>
    <col min="15107" max="15107" width="14.6640625" style="323" customWidth="1"/>
    <col min="15108" max="15108" width="5.33203125" style="323" customWidth="1"/>
    <col min="15109" max="15109" width="17.88671875" style="323" customWidth="1"/>
    <col min="15110" max="15110" width="35.88671875" style="323" customWidth="1"/>
    <col min="15111" max="15111" width="13.109375" style="323" customWidth="1"/>
    <col min="15112" max="15112" width="5.44140625" style="323" customWidth="1"/>
    <col min="15113" max="15113" width="10.5546875" style="323" customWidth="1"/>
    <col min="15114" max="15114" width="9.44140625" style="323" customWidth="1"/>
    <col min="15115" max="15116" width="8.5546875" style="323" customWidth="1"/>
    <col min="15117" max="15362" width="8.88671875" style="323"/>
    <col min="15363" max="15363" width="14.6640625" style="323" customWidth="1"/>
    <col min="15364" max="15364" width="5.33203125" style="323" customWidth="1"/>
    <col min="15365" max="15365" width="17.88671875" style="323" customWidth="1"/>
    <col min="15366" max="15366" width="35.88671875" style="323" customWidth="1"/>
    <col min="15367" max="15367" width="13.109375" style="323" customWidth="1"/>
    <col min="15368" max="15368" width="5.44140625" style="323" customWidth="1"/>
    <col min="15369" max="15369" width="10.5546875" style="323" customWidth="1"/>
    <col min="15370" max="15370" width="9.44140625" style="323" customWidth="1"/>
    <col min="15371" max="15372" width="8.5546875" style="323" customWidth="1"/>
    <col min="15373" max="15618" width="8.88671875" style="323"/>
    <col min="15619" max="15619" width="14.6640625" style="323" customWidth="1"/>
    <col min="15620" max="15620" width="5.33203125" style="323" customWidth="1"/>
    <col min="15621" max="15621" width="17.88671875" style="323" customWidth="1"/>
    <col min="15622" max="15622" width="35.88671875" style="323" customWidth="1"/>
    <col min="15623" max="15623" width="13.109375" style="323" customWidth="1"/>
    <col min="15624" max="15624" width="5.44140625" style="323" customWidth="1"/>
    <col min="15625" max="15625" width="10.5546875" style="323" customWidth="1"/>
    <col min="15626" max="15626" width="9.44140625" style="323" customWidth="1"/>
    <col min="15627" max="15628" width="8.5546875" style="323" customWidth="1"/>
    <col min="15629" max="15874" width="8.88671875" style="323"/>
    <col min="15875" max="15875" width="14.6640625" style="323" customWidth="1"/>
    <col min="15876" max="15876" width="5.33203125" style="323" customWidth="1"/>
    <col min="15877" max="15877" width="17.88671875" style="323" customWidth="1"/>
    <col min="15878" max="15878" width="35.88671875" style="323" customWidth="1"/>
    <col min="15879" max="15879" width="13.109375" style="323" customWidth="1"/>
    <col min="15880" max="15880" width="5.44140625" style="323" customWidth="1"/>
    <col min="15881" max="15881" width="10.5546875" style="323" customWidth="1"/>
    <col min="15882" max="15882" width="9.44140625" style="323" customWidth="1"/>
    <col min="15883" max="15884" width="8.5546875" style="323" customWidth="1"/>
    <col min="15885" max="16130" width="8.88671875" style="323"/>
    <col min="16131" max="16131" width="14.6640625" style="323" customWidth="1"/>
    <col min="16132" max="16132" width="5.33203125" style="323" customWidth="1"/>
    <col min="16133" max="16133" width="17.88671875" style="323" customWidth="1"/>
    <col min="16134" max="16134" width="35.88671875" style="323" customWidth="1"/>
    <col min="16135" max="16135" width="13.109375" style="323" customWidth="1"/>
    <col min="16136" max="16136" width="5.44140625" style="323" customWidth="1"/>
    <col min="16137" max="16137" width="10.5546875" style="323" customWidth="1"/>
    <col min="16138" max="16138" width="9.44140625" style="323" customWidth="1"/>
    <col min="16139" max="16140" width="8.5546875" style="323" customWidth="1"/>
    <col min="16141" max="16384" width="8.88671875" style="323"/>
  </cols>
  <sheetData>
    <row r="1" spans="1:14" s="708" customFormat="1" ht="30" customHeight="1" thickBot="1">
      <c r="A1" s="703" t="s">
        <v>42</v>
      </c>
      <c r="B1" s="704"/>
      <c r="C1" s="704"/>
      <c r="D1" s="703" t="str">
        <f>기술투자!B6</f>
        <v>㈜ㅁㅁ엔지니어링</v>
      </c>
      <c r="E1" s="703"/>
      <c r="F1" s="703"/>
      <c r="G1" s="705"/>
      <c r="H1" s="706" t="s">
        <v>114</v>
      </c>
      <c r="I1" s="707">
        <v>39814</v>
      </c>
      <c r="J1" s="705"/>
      <c r="K1" s="282"/>
      <c r="L1" s="282"/>
      <c r="M1" s="284"/>
      <c r="N1" s="284"/>
    </row>
    <row r="2" spans="1:14" s="286" customFormat="1" ht="35.1" customHeight="1">
      <c r="A2" s="709" t="s">
        <v>107</v>
      </c>
      <c r="B2" s="710" t="s">
        <v>108</v>
      </c>
      <c r="C2" s="710" t="s">
        <v>582</v>
      </c>
      <c r="D2" s="710" t="s">
        <v>109</v>
      </c>
      <c r="E2" s="711" t="s">
        <v>583</v>
      </c>
      <c r="F2" s="712" t="s">
        <v>584</v>
      </c>
      <c r="G2" s="712" t="s">
        <v>585</v>
      </c>
      <c r="H2" s="712" t="s">
        <v>586</v>
      </c>
      <c r="I2" s="710" t="s">
        <v>110</v>
      </c>
      <c r="J2" s="710" t="s">
        <v>111</v>
      </c>
      <c r="K2" s="710" t="s">
        <v>587</v>
      </c>
      <c r="L2" s="713" t="s">
        <v>95</v>
      </c>
    </row>
    <row r="3" spans="1:14" s="723" customFormat="1" ht="35.1" customHeight="1">
      <c r="A3" s="714" t="s">
        <v>588</v>
      </c>
      <c r="B3" s="715">
        <v>1</v>
      </c>
      <c r="C3" s="715" t="s">
        <v>589</v>
      </c>
      <c r="D3" s="715" t="s">
        <v>590</v>
      </c>
      <c r="E3" s="715"/>
      <c r="F3" s="716" t="s">
        <v>591</v>
      </c>
      <c r="G3" s="717">
        <v>4</v>
      </c>
      <c r="H3" s="718">
        <v>39570</v>
      </c>
      <c r="I3" s="719">
        <f>$I$1-H3</f>
        <v>244</v>
      </c>
      <c r="J3" s="720" t="s">
        <v>592</v>
      </c>
      <c r="K3" s="721">
        <v>1</v>
      </c>
      <c r="L3" s="722">
        <f>1/G3*K3</f>
        <v>0.25</v>
      </c>
    </row>
    <row r="4" spans="1:14" ht="35.1" customHeight="1">
      <c r="A4" s="714" t="s">
        <v>588</v>
      </c>
      <c r="B4" s="715">
        <v>3</v>
      </c>
      <c r="C4" s="715"/>
      <c r="D4" s="715" t="s">
        <v>590</v>
      </c>
      <c r="E4" s="715"/>
      <c r="F4" s="716" t="s">
        <v>591</v>
      </c>
      <c r="G4" s="717">
        <v>5</v>
      </c>
      <c r="H4" s="718">
        <v>39572</v>
      </c>
      <c r="I4" s="719">
        <f t="shared" ref="I4:I19" si="0">$I$1-H4</f>
        <v>242</v>
      </c>
      <c r="J4" s="720" t="s">
        <v>592</v>
      </c>
      <c r="K4" s="721">
        <v>0.6</v>
      </c>
      <c r="L4" s="722">
        <f>1/G4*K4</f>
        <v>0.12</v>
      </c>
    </row>
    <row r="5" spans="1:14" s="726" customFormat="1" ht="35.1" customHeight="1">
      <c r="A5" s="1248" t="s">
        <v>593</v>
      </c>
      <c r="B5" s="1249"/>
      <c r="C5" s="1249"/>
      <c r="D5" s="1249"/>
      <c r="E5" s="1249"/>
      <c r="F5" s="1249"/>
      <c r="G5" s="1249"/>
      <c r="H5" s="1249"/>
      <c r="I5" s="1249"/>
      <c r="J5" s="1250"/>
      <c r="K5" s="724"/>
      <c r="L5" s="725">
        <f>SUM(L3:L4)</f>
        <v>0.37</v>
      </c>
    </row>
    <row r="6" spans="1:14" s="723" customFormat="1" ht="35.1" customHeight="1">
      <c r="A6" s="714" t="s">
        <v>594</v>
      </c>
      <c r="B6" s="715">
        <v>1</v>
      </c>
      <c r="C6" s="715"/>
      <c r="D6" s="715" t="s">
        <v>595</v>
      </c>
      <c r="E6" s="715"/>
      <c r="F6" s="716" t="s">
        <v>591</v>
      </c>
      <c r="G6" s="717">
        <v>2</v>
      </c>
      <c r="H6" s="718">
        <v>34823</v>
      </c>
      <c r="I6" s="719">
        <f t="shared" si="0"/>
        <v>4991</v>
      </c>
      <c r="J6" s="720" t="s">
        <v>592</v>
      </c>
      <c r="K6" s="721">
        <v>1</v>
      </c>
      <c r="L6" s="722">
        <f t="shared" ref="L6:L7" si="1">1/G6*K6</f>
        <v>0.5</v>
      </c>
    </row>
    <row r="7" spans="1:14" s="723" customFormat="1" ht="35.1" customHeight="1">
      <c r="A7" s="714" t="s">
        <v>594</v>
      </c>
      <c r="B7" s="715">
        <v>2</v>
      </c>
      <c r="C7" s="715"/>
      <c r="D7" s="715" t="s">
        <v>595</v>
      </c>
      <c r="E7" s="715"/>
      <c r="F7" s="716" t="s">
        <v>591</v>
      </c>
      <c r="G7" s="717">
        <v>2</v>
      </c>
      <c r="H7" s="718">
        <v>35189</v>
      </c>
      <c r="I7" s="719">
        <f t="shared" si="0"/>
        <v>4625</v>
      </c>
      <c r="J7" s="720" t="s">
        <v>592</v>
      </c>
      <c r="K7" s="721">
        <v>1</v>
      </c>
      <c r="L7" s="722">
        <f t="shared" si="1"/>
        <v>0.5</v>
      </c>
    </row>
    <row r="8" spans="1:14" s="727" customFormat="1" ht="35.1" customHeight="1">
      <c r="A8" s="1248" t="s">
        <v>596</v>
      </c>
      <c r="B8" s="1249"/>
      <c r="C8" s="1249"/>
      <c r="D8" s="1249"/>
      <c r="E8" s="1249"/>
      <c r="F8" s="1249"/>
      <c r="G8" s="1249"/>
      <c r="H8" s="1249"/>
      <c r="I8" s="1249"/>
      <c r="J8" s="1250"/>
      <c r="K8" s="724"/>
      <c r="L8" s="725">
        <f>SUM(L6:L7)</f>
        <v>1</v>
      </c>
    </row>
    <row r="9" spans="1:14" ht="35.1" customHeight="1">
      <c r="A9" s="714" t="s">
        <v>594</v>
      </c>
      <c r="B9" s="715">
        <v>3</v>
      </c>
      <c r="C9" s="715"/>
      <c r="D9" s="715" t="s">
        <v>595</v>
      </c>
      <c r="E9" s="715"/>
      <c r="F9" s="716" t="s">
        <v>591</v>
      </c>
      <c r="G9" s="717">
        <v>1</v>
      </c>
      <c r="H9" s="718">
        <v>37381</v>
      </c>
      <c r="I9" s="719">
        <f t="shared" si="0"/>
        <v>2433</v>
      </c>
      <c r="J9" s="720" t="s">
        <v>592</v>
      </c>
      <c r="K9" s="721">
        <v>0.6</v>
      </c>
      <c r="L9" s="722">
        <f t="shared" ref="L9:L10" si="2">1/G9*K9</f>
        <v>0.6</v>
      </c>
    </row>
    <row r="10" spans="1:14" ht="35.1" customHeight="1">
      <c r="A10" s="714" t="s">
        <v>594</v>
      </c>
      <c r="B10" s="715">
        <v>5</v>
      </c>
      <c r="C10" s="715"/>
      <c r="D10" s="715" t="s">
        <v>595</v>
      </c>
      <c r="E10" s="715"/>
      <c r="F10" s="716" t="s">
        <v>591</v>
      </c>
      <c r="G10" s="717">
        <v>2</v>
      </c>
      <c r="H10" s="718">
        <v>37748</v>
      </c>
      <c r="I10" s="719">
        <f t="shared" si="0"/>
        <v>2066</v>
      </c>
      <c r="J10" s="720" t="s">
        <v>592</v>
      </c>
      <c r="K10" s="721">
        <v>0.6</v>
      </c>
      <c r="L10" s="722">
        <f t="shared" si="2"/>
        <v>0.3</v>
      </c>
    </row>
    <row r="11" spans="1:14" s="727" customFormat="1" ht="35.1" customHeight="1">
      <c r="A11" s="1248" t="s">
        <v>597</v>
      </c>
      <c r="B11" s="1249"/>
      <c r="C11" s="1249"/>
      <c r="D11" s="1249"/>
      <c r="E11" s="1249"/>
      <c r="F11" s="1249"/>
      <c r="G11" s="1249"/>
      <c r="H11" s="1249"/>
      <c r="I11" s="1249"/>
      <c r="J11" s="1250"/>
      <c r="K11" s="724"/>
      <c r="L11" s="725">
        <f>SUM(L9:L10)</f>
        <v>0.89999999999999991</v>
      </c>
    </row>
    <row r="12" spans="1:14" s="723" customFormat="1" ht="35.1" customHeight="1">
      <c r="A12" s="714" t="s">
        <v>594</v>
      </c>
      <c r="B12" s="715">
        <v>6</v>
      </c>
      <c r="C12" s="715"/>
      <c r="D12" s="715" t="s">
        <v>595</v>
      </c>
      <c r="E12" s="715"/>
      <c r="F12" s="716" t="s">
        <v>591</v>
      </c>
      <c r="G12" s="717">
        <v>1</v>
      </c>
      <c r="H12" s="718">
        <v>38117</v>
      </c>
      <c r="I12" s="719">
        <f t="shared" si="0"/>
        <v>1697</v>
      </c>
      <c r="J12" s="720" t="s">
        <v>592</v>
      </c>
      <c r="K12" s="721">
        <v>1</v>
      </c>
      <c r="L12" s="722">
        <f t="shared" ref="L12:L13" si="3">1/G12*K12</f>
        <v>1</v>
      </c>
    </row>
    <row r="13" spans="1:14" s="723" customFormat="1" ht="35.1" customHeight="1">
      <c r="A13" s="714" t="s">
        <v>594</v>
      </c>
      <c r="B13" s="715">
        <v>7</v>
      </c>
      <c r="C13" s="715"/>
      <c r="D13" s="715" t="s">
        <v>595</v>
      </c>
      <c r="E13" s="715"/>
      <c r="F13" s="716" t="s">
        <v>591</v>
      </c>
      <c r="G13" s="717">
        <v>1</v>
      </c>
      <c r="H13" s="718">
        <v>38483</v>
      </c>
      <c r="I13" s="719">
        <f t="shared" si="0"/>
        <v>1331</v>
      </c>
      <c r="J13" s="720" t="s">
        <v>592</v>
      </c>
      <c r="K13" s="721">
        <v>1</v>
      </c>
      <c r="L13" s="722">
        <f t="shared" si="3"/>
        <v>1</v>
      </c>
    </row>
    <row r="14" spans="1:14" s="726" customFormat="1" ht="35.1" customHeight="1">
      <c r="A14" s="1248" t="s">
        <v>598</v>
      </c>
      <c r="B14" s="1249"/>
      <c r="C14" s="1249"/>
      <c r="D14" s="1249"/>
      <c r="E14" s="1249"/>
      <c r="F14" s="1249"/>
      <c r="G14" s="1249"/>
      <c r="H14" s="1249"/>
      <c r="I14" s="1249"/>
      <c r="J14" s="1250"/>
      <c r="K14" s="724"/>
      <c r="L14" s="728">
        <f>SUM(L12:L13)</f>
        <v>2</v>
      </c>
    </row>
    <row r="15" spans="1:14" s="723" customFormat="1" ht="35.1" customHeight="1">
      <c r="A15" s="714" t="s">
        <v>599</v>
      </c>
      <c r="B15" s="715">
        <v>1</v>
      </c>
      <c r="C15" s="715"/>
      <c r="D15" s="715" t="s">
        <v>600</v>
      </c>
      <c r="E15" s="715"/>
      <c r="F15" s="716" t="s">
        <v>591</v>
      </c>
      <c r="G15" s="717">
        <v>1</v>
      </c>
      <c r="H15" s="718">
        <v>37015</v>
      </c>
      <c r="I15" s="719">
        <f t="shared" si="0"/>
        <v>2799</v>
      </c>
      <c r="J15" s="720" t="s">
        <v>592</v>
      </c>
      <c r="K15" s="721">
        <v>1</v>
      </c>
      <c r="L15" s="722">
        <f t="shared" ref="L15:L16" si="4">1/G15*K15</f>
        <v>1</v>
      </c>
    </row>
    <row r="16" spans="1:14" s="723" customFormat="1" ht="35.1" customHeight="1">
      <c r="A16" s="714" t="s">
        <v>599</v>
      </c>
      <c r="B16" s="715">
        <v>2</v>
      </c>
      <c r="C16" s="715"/>
      <c r="D16" s="715" t="s">
        <v>600</v>
      </c>
      <c r="E16" s="715"/>
      <c r="F16" s="716" t="s">
        <v>591</v>
      </c>
      <c r="G16" s="717">
        <v>2</v>
      </c>
      <c r="H16" s="718">
        <v>37380</v>
      </c>
      <c r="I16" s="719">
        <f t="shared" si="0"/>
        <v>2434</v>
      </c>
      <c r="J16" s="720" t="s">
        <v>592</v>
      </c>
      <c r="K16" s="721">
        <v>1</v>
      </c>
      <c r="L16" s="722">
        <f t="shared" si="4"/>
        <v>0.5</v>
      </c>
    </row>
    <row r="17" spans="1:14" s="726" customFormat="1" ht="35.1" customHeight="1">
      <c r="A17" s="1248" t="s">
        <v>601</v>
      </c>
      <c r="B17" s="1249"/>
      <c r="C17" s="1249"/>
      <c r="D17" s="1249"/>
      <c r="E17" s="1249"/>
      <c r="F17" s="1249"/>
      <c r="G17" s="1249"/>
      <c r="H17" s="1249"/>
      <c r="I17" s="1249"/>
      <c r="J17" s="1250"/>
      <c r="K17" s="724"/>
      <c r="L17" s="725">
        <f>SUM(L15:L16)</f>
        <v>1.5</v>
      </c>
    </row>
    <row r="18" spans="1:14" s="723" customFormat="1" ht="35.1" customHeight="1">
      <c r="A18" s="714" t="s">
        <v>599</v>
      </c>
      <c r="B18" s="715">
        <v>3</v>
      </c>
      <c r="C18" s="715"/>
      <c r="D18" s="715" t="s">
        <v>600</v>
      </c>
      <c r="E18" s="715"/>
      <c r="F18" s="716" t="s">
        <v>591</v>
      </c>
      <c r="G18" s="717">
        <v>1</v>
      </c>
      <c r="H18" s="718">
        <v>38476</v>
      </c>
      <c r="I18" s="719">
        <f t="shared" si="0"/>
        <v>1338</v>
      </c>
      <c r="J18" s="720" t="s">
        <v>592</v>
      </c>
      <c r="K18" s="721">
        <v>1</v>
      </c>
      <c r="L18" s="722">
        <f t="shared" ref="L18:L19" si="5">1/G18*K18</f>
        <v>1</v>
      </c>
    </row>
    <row r="19" spans="1:14" s="723" customFormat="1" ht="35.1" customHeight="1">
      <c r="A19" s="714" t="s">
        <v>599</v>
      </c>
      <c r="B19" s="715">
        <v>4</v>
      </c>
      <c r="C19" s="715"/>
      <c r="D19" s="715" t="s">
        <v>600</v>
      </c>
      <c r="E19" s="715"/>
      <c r="F19" s="716" t="s">
        <v>591</v>
      </c>
      <c r="G19" s="717">
        <v>2</v>
      </c>
      <c r="H19" s="718">
        <v>39206</v>
      </c>
      <c r="I19" s="719">
        <f t="shared" si="0"/>
        <v>608</v>
      </c>
      <c r="J19" s="720" t="s">
        <v>592</v>
      </c>
      <c r="K19" s="721">
        <v>1</v>
      </c>
      <c r="L19" s="722">
        <f t="shared" si="5"/>
        <v>0.5</v>
      </c>
    </row>
    <row r="20" spans="1:14" s="726" customFormat="1" ht="35.1" customHeight="1">
      <c r="A20" s="1248" t="s">
        <v>602</v>
      </c>
      <c r="B20" s="1249"/>
      <c r="C20" s="1249"/>
      <c r="D20" s="1249"/>
      <c r="E20" s="1249"/>
      <c r="F20" s="1249"/>
      <c r="G20" s="1249"/>
      <c r="H20" s="1249"/>
      <c r="I20" s="1249"/>
      <c r="J20" s="1250"/>
      <c r="K20" s="724"/>
      <c r="L20" s="725">
        <f>SUM(L18:L19)</f>
        <v>1.5</v>
      </c>
    </row>
    <row r="21" spans="1:14" s="723" customFormat="1" ht="35.1" customHeight="1">
      <c r="A21" s="714" t="s">
        <v>603</v>
      </c>
      <c r="B21" s="715">
        <v>1</v>
      </c>
      <c r="C21" s="715"/>
      <c r="D21" s="715" t="s">
        <v>604</v>
      </c>
      <c r="E21" s="715"/>
      <c r="F21" s="716" t="s">
        <v>591</v>
      </c>
      <c r="G21" s="717">
        <v>1</v>
      </c>
      <c r="H21" s="718">
        <v>38476</v>
      </c>
      <c r="I21" s="719">
        <f t="shared" ref="I21:I22" si="6">$I$1-H21</f>
        <v>1338</v>
      </c>
      <c r="J21" s="720" t="s">
        <v>592</v>
      </c>
      <c r="K21" s="721">
        <v>1</v>
      </c>
      <c r="L21" s="722">
        <f t="shared" ref="L21:L22" si="7">1/G21*K21</f>
        <v>1</v>
      </c>
    </row>
    <row r="22" spans="1:14" s="723" customFormat="1" ht="35.1" customHeight="1">
      <c r="A22" s="714" t="s">
        <v>603</v>
      </c>
      <c r="B22" s="715">
        <v>2</v>
      </c>
      <c r="C22" s="715"/>
      <c r="D22" s="715" t="s">
        <v>604</v>
      </c>
      <c r="E22" s="715"/>
      <c r="F22" s="716" t="s">
        <v>591</v>
      </c>
      <c r="G22" s="717">
        <v>2</v>
      </c>
      <c r="H22" s="718">
        <v>39206</v>
      </c>
      <c r="I22" s="719">
        <f t="shared" si="6"/>
        <v>608</v>
      </c>
      <c r="J22" s="720" t="s">
        <v>592</v>
      </c>
      <c r="K22" s="721">
        <v>1</v>
      </c>
      <c r="L22" s="722">
        <f t="shared" si="7"/>
        <v>0.5</v>
      </c>
    </row>
    <row r="23" spans="1:14" s="726" customFormat="1" ht="35.1" customHeight="1">
      <c r="A23" s="1248" t="s">
        <v>605</v>
      </c>
      <c r="B23" s="1249"/>
      <c r="C23" s="1249"/>
      <c r="D23" s="1249"/>
      <c r="E23" s="1249"/>
      <c r="F23" s="1249"/>
      <c r="G23" s="1249"/>
      <c r="H23" s="1249"/>
      <c r="I23" s="1249"/>
      <c r="J23" s="1250"/>
      <c r="K23" s="724"/>
      <c r="L23" s="725">
        <f>SUM(L21:L22)</f>
        <v>1.5</v>
      </c>
    </row>
    <row r="24" spans="1:14" s="726" customFormat="1" ht="35.1" customHeight="1">
      <c r="A24" s="729"/>
      <c r="B24" s="729"/>
      <c r="C24" s="729"/>
      <c r="D24" s="729"/>
      <c r="E24" s="729"/>
      <c r="F24" s="729"/>
      <c r="G24" s="729"/>
      <c r="H24" s="729"/>
      <c r="I24" s="729"/>
      <c r="J24" s="729"/>
      <c r="K24" s="729"/>
      <c r="L24" s="730"/>
    </row>
    <row r="25" spans="1:14" s="726" customFormat="1" ht="35.1" customHeight="1">
      <c r="A25" s="304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731"/>
    </row>
    <row r="26" spans="1:14" s="306" customFormat="1" ht="24.95" customHeight="1">
      <c r="A26" s="732" t="s">
        <v>606</v>
      </c>
      <c r="B26" s="308" t="s">
        <v>607</v>
      </c>
      <c r="C26" s="308"/>
      <c r="D26" s="733"/>
      <c r="E26" s="733"/>
      <c r="F26" s="733"/>
      <c r="G26" s="734"/>
      <c r="H26" s="734"/>
      <c r="I26" s="734"/>
      <c r="J26" s="735"/>
      <c r="K26" s="316"/>
      <c r="L26" s="316"/>
    </row>
    <row r="27" spans="1:14" s="306" customFormat="1" ht="24.95" customHeight="1">
      <c r="A27" s="732" t="s">
        <v>608</v>
      </c>
      <c r="B27" s="308" t="s">
        <v>609</v>
      </c>
      <c r="C27" s="308"/>
      <c r="D27" s="733"/>
      <c r="E27" s="733"/>
      <c r="F27" s="733"/>
      <c r="G27" s="734"/>
      <c r="H27" s="734"/>
      <c r="I27" s="734"/>
      <c r="J27" s="735"/>
      <c r="K27" s="316"/>
      <c r="L27" s="316"/>
    </row>
    <row r="28" spans="1:14" s="306" customFormat="1" ht="24.95" customHeight="1">
      <c r="A28" s="732"/>
      <c r="B28" s="308"/>
      <c r="C28" s="308"/>
      <c r="D28" s="733"/>
      <c r="E28" s="733"/>
      <c r="F28" s="733"/>
      <c r="G28" s="734"/>
      <c r="H28" s="734"/>
      <c r="I28" s="734"/>
      <c r="J28" s="735"/>
      <c r="K28" s="316"/>
      <c r="L28" s="316"/>
    </row>
    <row r="29" spans="1:14" ht="15" customHeight="1">
      <c r="A29" s="736"/>
      <c r="H29" s="737"/>
      <c r="I29" s="737"/>
    </row>
    <row r="30" spans="1:14" ht="15" customHeight="1">
      <c r="A30" s="736"/>
      <c r="H30" s="737"/>
      <c r="I30" s="737"/>
    </row>
    <row r="31" spans="1:14" s="738" customFormat="1" ht="15" customHeight="1">
      <c r="A31" s="318"/>
      <c r="B31" s="324"/>
      <c r="C31" s="320"/>
      <c r="D31" s="320"/>
      <c r="E31" s="320"/>
      <c r="F31" s="320"/>
      <c r="G31" s="739"/>
      <c r="H31" s="335"/>
      <c r="I31" s="335"/>
      <c r="K31" s="321"/>
      <c r="L31" s="321"/>
      <c r="M31" s="323"/>
      <c r="N31" s="323"/>
    </row>
    <row r="32" spans="1:14" s="738" customFormat="1" ht="15" customHeight="1">
      <c r="A32" s="318"/>
      <c r="B32" s="324"/>
      <c r="C32" s="320"/>
      <c r="D32" s="320"/>
      <c r="E32" s="320"/>
      <c r="F32" s="320"/>
      <c r="G32" s="739"/>
      <c r="H32" s="335"/>
      <c r="I32" s="335"/>
      <c r="K32" s="321"/>
      <c r="L32" s="321"/>
      <c r="M32" s="323"/>
      <c r="N32" s="323"/>
    </row>
    <row r="33" spans="1:14" s="738" customFormat="1" ht="15" customHeight="1">
      <c r="A33" s="318"/>
      <c r="B33" s="324"/>
      <c r="C33" s="320"/>
      <c r="D33" s="320"/>
      <c r="E33" s="320"/>
      <c r="F33" s="320"/>
      <c r="G33" s="739"/>
      <c r="H33" s="335"/>
      <c r="I33" s="335"/>
      <c r="K33" s="321"/>
      <c r="L33" s="321"/>
      <c r="M33" s="323"/>
      <c r="N33" s="323"/>
    </row>
    <row r="34" spans="1:14" s="738" customFormat="1" ht="15" customHeight="1">
      <c r="A34" s="318"/>
      <c r="B34" s="324"/>
      <c r="C34" s="320"/>
      <c r="D34" s="320"/>
      <c r="E34" s="320"/>
      <c r="F34" s="320"/>
      <c r="G34" s="739"/>
      <c r="H34" s="335"/>
      <c r="I34" s="335"/>
      <c r="K34" s="321"/>
      <c r="L34" s="321"/>
      <c r="M34" s="323"/>
      <c r="N34" s="323"/>
    </row>
    <row r="35" spans="1:14" s="738" customFormat="1" ht="15" customHeight="1">
      <c r="A35" s="318"/>
      <c r="B35" s="324"/>
      <c r="C35" s="320"/>
      <c r="D35" s="320"/>
      <c r="E35" s="320"/>
      <c r="F35" s="320"/>
      <c r="G35" s="739"/>
      <c r="H35" s="335"/>
      <c r="I35" s="335"/>
      <c r="K35" s="321"/>
      <c r="L35" s="321"/>
      <c r="M35" s="323"/>
      <c r="N35" s="323"/>
    </row>
    <row r="36" spans="1:14" s="738" customFormat="1" ht="12" customHeight="1">
      <c r="A36" s="318"/>
      <c r="B36" s="324"/>
      <c r="C36" s="320"/>
      <c r="D36" s="320"/>
      <c r="E36" s="320"/>
      <c r="F36" s="320"/>
      <c r="G36" s="739"/>
      <c r="H36" s="335"/>
      <c r="I36" s="335"/>
      <c r="K36" s="321"/>
      <c r="L36" s="321"/>
      <c r="M36" s="323"/>
      <c r="N36" s="323"/>
    </row>
    <row r="37" spans="1:14" s="738" customFormat="1" ht="12" customHeight="1">
      <c r="A37" s="318"/>
      <c r="B37" s="324"/>
      <c r="C37" s="320"/>
      <c r="D37" s="320"/>
      <c r="E37" s="320"/>
      <c r="F37" s="320"/>
      <c r="G37" s="739"/>
      <c r="H37" s="335"/>
      <c r="I37" s="335"/>
      <c r="K37" s="321"/>
      <c r="L37" s="321"/>
      <c r="M37" s="323"/>
      <c r="N37" s="323"/>
    </row>
    <row r="38" spans="1:14" s="738" customFormat="1" ht="12" customHeight="1">
      <c r="A38" s="318"/>
      <c r="B38" s="324"/>
      <c r="C38" s="320"/>
      <c r="D38" s="320"/>
      <c r="E38" s="320"/>
      <c r="F38" s="320"/>
      <c r="G38" s="739"/>
      <c r="H38" s="335"/>
      <c r="I38" s="335"/>
      <c r="K38" s="321"/>
      <c r="L38" s="321"/>
      <c r="M38" s="323"/>
      <c r="N38" s="323"/>
    </row>
    <row r="39" spans="1:14" s="738" customFormat="1" ht="12" customHeight="1">
      <c r="A39" s="318"/>
      <c r="B39" s="324"/>
      <c r="C39" s="320"/>
      <c r="D39" s="320"/>
      <c r="E39" s="320"/>
      <c r="F39" s="320"/>
      <c r="G39" s="739"/>
      <c r="H39" s="335"/>
      <c r="I39" s="335"/>
      <c r="K39" s="321"/>
      <c r="L39" s="321"/>
      <c r="M39" s="323"/>
      <c r="N39" s="323"/>
    </row>
    <row r="40" spans="1:14" s="738" customFormat="1" ht="12" customHeight="1">
      <c r="A40" s="318"/>
      <c r="B40" s="324"/>
      <c r="C40" s="320"/>
      <c r="D40" s="320"/>
      <c r="E40" s="320"/>
      <c r="F40" s="320"/>
      <c r="G40" s="739"/>
      <c r="H40" s="335"/>
      <c r="I40" s="335"/>
      <c r="K40" s="321"/>
      <c r="L40" s="321"/>
      <c r="M40" s="323"/>
      <c r="N40" s="323"/>
    </row>
    <row r="41" spans="1:14" s="738" customFormat="1" ht="12" customHeight="1">
      <c r="A41" s="318"/>
      <c r="B41" s="324"/>
      <c r="C41" s="320"/>
      <c r="D41" s="320"/>
      <c r="E41" s="320"/>
      <c r="F41" s="320"/>
      <c r="G41" s="739"/>
      <c r="H41" s="335"/>
      <c r="I41" s="335"/>
      <c r="K41" s="321"/>
      <c r="L41" s="321"/>
      <c r="M41" s="323"/>
      <c r="N41" s="323"/>
    </row>
    <row r="42" spans="1:14" s="738" customFormat="1" ht="12" customHeight="1">
      <c r="A42" s="318"/>
      <c r="B42" s="324"/>
      <c r="C42" s="320"/>
      <c r="D42" s="320"/>
      <c r="E42" s="320"/>
      <c r="F42" s="320"/>
      <c r="G42" s="739"/>
      <c r="H42" s="335"/>
      <c r="I42" s="335"/>
      <c r="K42" s="321"/>
      <c r="L42" s="321"/>
      <c r="M42" s="323"/>
      <c r="N42" s="323"/>
    </row>
    <row r="43" spans="1:14" s="738" customFormat="1" ht="12" customHeight="1">
      <c r="A43" s="318"/>
      <c r="B43" s="324"/>
      <c r="C43" s="320"/>
      <c r="D43" s="320"/>
      <c r="E43" s="320"/>
      <c r="F43" s="320"/>
      <c r="G43" s="739"/>
      <c r="H43" s="335"/>
      <c r="I43" s="335"/>
      <c r="K43" s="321"/>
      <c r="L43" s="321"/>
      <c r="M43" s="323"/>
      <c r="N43" s="323"/>
    </row>
    <row r="44" spans="1:14" s="738" customFormat="1" ht="12" customHeight="1">
      <c r="A44" s="318"/>
      <c r="B44" s="324"/>
      <c r="C44" s="320"/>
      <c r="D44" s="320"/>
      <c r="E44" s="320"/>
      <c r="F44" s="320"/>
      <c r="G44" s="739"/>
      <c r="H44" s="335"/>
      <c r="I44" s="335"/>
      <c r="K44" s="321"/>
      <c r="L44" s="321"/>
      <c r="M44" s="323"/>
      <c r="N44" s="323"/>
    </row>
    <row r="45" spans="1:14" s="738" customFormat="1" ht="12" customHeight="1">
      <c r="A45" s="318"/>
      <c r="B45" s="324"/>
      <c r="C45" s="320"/>
      <c r="D45" s="320"/>
      <c r="E45" s="320"/>
      <c r="F45" s="320"/>
      <c r="G45" s="739"/>
      <c r="H45" s="335"/>
      <c r="I45" s="335"/>
      <c r="K45" s="321"/>
      <c r="L45" s="321"/>
      <c r="M45" s="323"/>
      <c r="N45" s="323"/>
    </row>
    <row r="46" spans="1:14" s="738" customFormat="1" ht="12" customHeight="1">
      <c r="A46" s="318"/>
      <c r="B46" s="324"/>
      <c r="C46" s="320"/>
      <c r="D46" s="320"/>
      <c r="E46" s="320"/>
      <c r="F46" s="320"/>
      <c r="G46" s="739"/>
      <c r="H46" s="335"/>
      <c r="I46" s="335"/>
      <c r="K46" s="321"/>
      <c r="L46" s="321"/>
      <c r="M46" s="323"/>
      <c r="N46" s="323"/>
    </row>
    <row r="47" spans="1:14" s="738" customFormat="1" ht="12" customHeight="1">
      <c r="A47" s="318"/>
      <c r="B47" s="324"/>
      <c r="C47" s="320"/>
      <c r="D47" s="320"/>
      <c r="E47" s="320"/>
      <c r="F47" s="320"/>
      <c r="G47" s="739"/>
      <c r="H47" s="335"/>
      <c r="I47" s="335"/>
      <c r="K47" s="321"/>
      <c r="L47" s="321"/>
      <c r="M47" s="323"/>
      <c r="N47" s="323"/>
    </row>
    <row r="48" spans="1:14" s="738" customFormat="1" ht="12" customHeight="1">
      <c r="A48" s="318"/>
      <c r="B48" s="324"/>
      <c r="C48" s="320"/>
      <c r="D48" s="320"/>
      <c r="E48" s="320"/>
      <c r="F48" s="320"/>
      <c r="G48" s="739"/>
      <c r="H48" s="335"/>
      <c r="I48" s="335"/>
      <c r="K48" s="321"/>
      <c r="L48" s="321"/>
      <c r="M48" s="323"/>
      <c r="N48" s="323"/>
    </row>
    <row r="49" spans="1:14" s="738" customFormat="1" ht="12" customHeight="1">
      <c r="A49" s="318"/>
      <c r="B49" s="324"/>
      <c r="C49" s="320"/>
      <c r="D49" s="320"/>
      <c r="E49" s="320"/>
      <c r="F49" s="320"/>
      <c r="G49" s="739"/>
      <c r="H49" s="335"/>
      <c r="I49" s="335"/>
      <c r="K49" s="321"/>
      <c r="L49" s="321"/>
      <c r="M49" s="323"/>
      <c r="N49" s="323"/>
    </row>
    <row r="50" spans="1:14" s="738" customFormat="1" ht="12" customHeight="1">
      <c r="A50" s="318"/>
      <c r="B50" s="324"/>
      <c r="C50" s="320"/>
      <c r="D50" s="320"/>
      <c r="E50" s="320"/>
      <c r="F50" s="320"/>
      <c r="G50" s="739"/>
      <c r="H50" s="335"/>
      <c r="I50" s="335"/>
      <c r="K50" s="321"/>
      <c r="L50" s="321"/>
      <c r="M50" s="323"/>
      <c r="N50" s="323"/>
    </row>
    <row r="51" spans="1:14" s="738" customFormat="1" ht="12" customHeight="1">
      <c r="A51" s="318"/>
      <c r="B51" s="324"/>
      <c r="C51" s="320"/>
      <c r="D51" s="320"/>
      <c r="E51" s="320"/>
      <c r="F51" s="320"/>
      <c r="G51" s="739"/>
      <c r="H51" s="335"/>
      <c r="I51" s="335"/>
      <c r="K51" s="321"/>
      <c r="L51" s="321"/>
      <c r="M51" s="323"/>
      <c r="N51" s="323"/>
    </row>
    <row r="52" spans="1:14" s="738" customFormat="1" ht="12" customHeight="1">
      <c r="A52" s="318"/>
      <c r="B52" s="324"/>
      <c r="C52" s="320"/>
      <c r="D52" s="320"/>
      <c r="E52" s="320"/>
      <c r="F52" s="320"/>
      <c r="G52" s="739"/>
      <c r="H52" s="335"/>
      <c r="I52" s="335"/>
      <c r="K52" s="321"/>
      <c r="L52" s="321"/>
      <c r="M52" s="323"/>
      <c r="N52" s="323"/>
    </row>
    <row r="53" spans="1:14" s="738" customFormat="1" ht="12" customHeight="1">
      <c r="A53" s="318"/>
      <c r="B53" s="324"/>
      <c r="C53" s="320"/>
      <c r="D53" s="320"/>
      <c r="E53" s="320"/>
      <c r="F53" s="320"/>
      <c r="G53" s="739"/>
      <c r="H53" s="335"/>
      <c r="I53" s="335"/>
      <c r="K53" s="321"/>
      <c r="L53" s="321"/>
      <c r="M53" s="323"/>
      <c r="N53" s="323"/>
    </row>
    <row r="54" spans="1:14" s="738" customFormat="1" ht="12" customHeight="1">
      <c r="A54" s="318"/>
      <c r="B54" s="324"/>
      <c r="C54" s="320"/>
      <c r="D54" s="320"/>
      <c r="E54" s="320"/>
      <c r="F54" s="320"/>
      <c r="G54" s="739"/>
      <c r="H54" s="335"/>
      <c r="I54" s="335"/>
      <c r="K54" s="321"/>
      <c r="L54" s="321"/>
      <c r="M54" s="323"/>
      <c r="N54" s="323"/>
    </row>
    <row r="55" spans="1:14" s="738" customFormat="1" ht="12" customHeight="1">
      <c r="A55" s="318"/>
      <c r="B55" s="324"/>
      <c r="C55" s="320"/>
      <c r="D55" s="320"/>
      <c r="E55" s="320"/>
      <c r="F55" s="320"/>
      <c r="G55" s="739"/>
      <c r="H55" s="335"/>
      <c r="I55" s="335"/>
      <c r="K55" s="321"/>
      <c r="L55" s="321"/>
      <c r="M55" s="323"/>
      <c r="N55" s="323"/>
    </row>
    <row r="56" spans="1:14" s="738" customFormat="1" ht="12" customHeight="1">
      <c r="A56" s="318"/>
      <c r="B56" s="324"/>
      <c r="C56" s="320"/>
      <c r="D56" s="320"/>
      <c r="E56" s="320"/>
      <c r="F56" s="320"/>
      <c r="G56" s="739"/>
      <c r="H56" s="335"/>
      <c r="I56" s="335"/>
      <c r="K56" s="321"/>
      <c r="L56" s="321"/>
      <c r="M56" s="323"/>
      <c r="N56" s="323"/>
    </row>
    <row r="57" spans="1:14" s="738" customFormat="1" ht="12" customHeight="1">
      <c r="A57" s="318"/>
      <c r="B57" s="324"/>
      <c r="C57" s="320"/>
      <c r="D57" s="320"/>
      <c r="E57" s="320"/>
      <c r="F57" s="320"/>
      <c r="G57" s="739"/>
      <c r="H57" s="335"/>
      <c r="I57" s="335"/>
      <c r="K57" s="321"/>
      <c r="L57" s="321"/>
      <c r="M57" s="323"/>
      <c r="N57" s="323"/>
    </row>
    <row r="58" spans="1:14" s="738" customFormat="1" ht="12" customHeight="1">
      <c r="A58" s="318"/>
      <c r="B58" s="324"/>
      <c r="C58" s="320"/>
      <c r="D58" s="320"/>
      <c r="E58" s="320"/>
      <c r="F58" s="320"/>
      <c r="G58" s="739"/>
      <c r="H58" s="335"/>
      <c r="I58" s="335"/>
      <c r="K58" s="321"/>
      <c r="L58" s="321"/>
      <c r="M58" s="323"/>
      <c r="N58" s="323"/>
    </row>
    <row r="59" spans="1:14" s="738" customFormat="1" ht="12" customHeight="1">
      <c r="A59" s="318"/>
      <c r="B59" s="324"/>
      <c r="C59" s="320"/>
      <c r="D59" s="320"/>
      <c r="E59" s="320"/>
      <c r="F59" s="320"/>
      <c r="G59" s="739"/>
      <c r="H59" s="335"/>
      <c r="I59" s="335"/>
      <c r="K59" s="321"/>
      <c r="L59" s="321"/>
      <c r="M59" s="323"/>
      <c r="N59" s="323"/>
    </row>
    <row r="60" spans="1:14" s="738" customFormat="1" ht="12" customHeight="1">
      <c r="A60" s="318"/>
      <c r="B60" s="324"/>
      <c r="C60" s="320"/>
      <c r="D60" s="320"/>
      <c r="E60" s="320"/>
      <c r="F60" s="320"/>
      <c r="G60" s="739"/>
      <c r="H60" s="335"/>
      <c r="I60" s="335"/>
      <c r="K60" s="321"/>
      <c r="L60" s="321"/>
      <c r="M60" s="323"/>
      <c r="N60" s="323"/>
    </row>
    <row r="61" spans="1:14" s="738" customFormat="1" ht="12" customHeight="1">
      <c r="A61" s="318"/>
      <c r="B61" s="324"/>
      <c r="C61" s="320"/>
      <c r="D61" s="320"/>
      <c r="E61" s="320"/>
      <c r="F61" s="320"/>
      <c r="G61" s="739"/>
      <c r="H61" s="335"/>
      <c r="I61" s="335"/>
      <c r="K61" s="321"/>
      <c r="L61" s="321"/>
      <c r="M61" s="323"/>
      <c r="N61" s="323"/>
    </row>
    <row r="62" spans="1:14" s="738" customFormat="1" ht="12" customHeight="1">
      <c r="A62" s="318"/>
      <c r="B62" s="324"/>
      <c r="C62" s="320"/>
      <c r="D62" s="320"/>
      <c r="E62" s="320"/>
      <c r="F62" s="320"/>
      <c r="G62" s="739"/>
      <c r="H62" s="335"/>
      <c r="I62" s="335"/>
      <c r="K62" s="321"/>
      <c r="L62" s="321"/>
      <c r="M62" s="323"/>
      <c r="N62" s="323"/>
    </row>
    <row r="63" spans="1:14" s="738" customFormat="1" ht="12" customHeight="1">
      <c r="A63" s="318"/>
      <c r="B63" s="324"/>
      <c r="C63" s="320"/>
      <c r="D63" s="320"/>
      <c r="E63" s="320"/>
      <c r="F63" s="320"/>
      <c r="G63" s="739"/>
      <c r="H63" s="335"/>
      <c r="I63" s="335"/>
      <c r="K63" s="321"/>
      <c r="L63" s="321"/>
      <c r="M63" s="323"/>
      <c r="N63" s="323"/>
    </row>
    <row r="64" spans="1:14" s="738" customFormat="1" ht="12" customHeight="1">
      <c r="A64" s="318"/>
      <c r="B64" s="324"/>
      <c r="C64" s="320"/>
      <c r="D64" s="320"/>
      <c r="E64" s="320"/>
      <c r="F64" s="320"/>
      <c r="G64" s="739"/>
      <c r="H64" s="335"/>
      <c r="I64" s="335"/>
      <c r="K64" s="321"/>
      <c r="L64" s="321"/>
      <c r="M64" s="323"/>
      <c r="N64" s="323"/>
    </row>
    <row r="65" spans="1:14" s="738" customFormat="1" ht="12" customHeight="1">
      <c r="A65" s="318"/>
      <c r="B65" s="324"/>
      <c r="C65" s="320"/>
      <c r="D65" s="320"/>
      <c r="E65" s="320"/>
      <c r="F65" s="320"/>
      <c r="G65" s="739"/>
      <c r="H65" s="335"/>
      <c r="I65" s="335"/>
      <c r="K65" s="321"/>
      <c r="L65" s="321"/>
      <c r="M65" s="323"/>
      <c r="N65" s="323"/>
    </row>
    <row r="66" spans="1:14" s="738" customFormat="1" ht="12" customHeight="1">
      <c r="A66" s="318"/>
      <c r="B66" s="324"/>
      <c r="C66" s="320"/>
      <c r="D66" s="320"/>
      <c r="E66" s="320"/>
      <c r="F66" s="320"/>
      <c r="G66" s="739"/>
      <c r="H66" s="335"/>
      <c r="I66" s="335"/>
      <c r="K66" s="321"/>
      <c r="L66" s="321"/>
      <c r="M66" s="323"/>
      <c r="N66" s="323"/>
    </row>
    <row r="67" spans="1:14" s="738" customFormat="1" ht="12" customHeight="1">
      <c r="A67" s="318"/>
      <c r="B67" s="324"/>
      <c r="C67" s="320"/>
      <c r="D67" s="320"/>
      <c r="E67" s="320"/>
      <c r="F67" s="320"/>
      <c r="G67" s="739"/>
      <c r="H67" s="335"/>
      <c r="I67" s="335"/>
      <c r="K67" s="321"/>
      <c r="L67" s="321"/>
      <c r="M67" s="323"/>
      <c r="N67" s="323"/>
    </row>
    <row r="68" spans="1:14" s="738" customFormat="1" ht="12" customHeight="1">
      <c r="A68" s="318"/>
      <c r="B68" s="324"/>
      <c r="C68" s="320"/>
      <c r="D68" s="320"/>
      <c r="E68" s="320"/>
      <c r="F68" s="320"/>
      <c r="G68" s="739"/>
      <c r="H68" s="335"/>
      <c r="I68" s="335"/>
      <c r="K68" s="321"/>
      <c r="L68" s="321"/>
      <c r="M68" s="323"/>
      <c r="N68" s="323"/>
    </row>
    <row r="69" spans="1:14" s="738" customFormat="1" ht="12" customHeight="1">
      <c r="A69" s="318"/>
      <c r="B69" s="324"/>
      <c r="C69" s="320"/>
      <c r="D69" s="320"/>
      <c r="E69" s="320"/>
      <c r="F69" s="320"/>
      <c r="G69" s="739"/>
      <c r="H69" s="335"/>
      <c r="I69" s="335"/>
      <c r="K69" s="321"/>
      <c r="L69" s="321"/>
      <c r="M69" s="323"/>
      <c r="N69" s="323"/>
    </row>
    <row r="70" spans="1:14" s="738" customFormat="1" ht="12" customHeight="1">
      <c r="A70" s="318"/>
      <c r="B70" s="324"/>
      <c r="C70" s="320"/>
      <c r="D70" s="320"/>
      <c r="E70" s="320"/>
      <c r="F70" s="320"/>
      <c r="G70" s="739"/>
      <c r="H70" s="335"/>
      <c r="I70" s="335"/>
      <c r="K70" s="321"/>
      <c r="L70" s="321"/>
      <c r="M70" s="323"/>
      <c r="N70" s="323"/>
    </row>
    <row r="71" spans="1:14" s="738" customFormat="1" ht="12" customHeight="1">
      <c r="A71" s="318"/>
      <c r="B71" s="324"/>
      <c r="C71" s="320"/>
      <c r="D71" s="320"/>
      <c r="E71" s="320"/>
      <c r="F71" s="320"/>
      <c r="G71" s="739"/>
      <c r="H71" s="335"/>
      <c r="I71" s="335"/>
      <c r="K71" s="321"/>
      <c r="L71" s="321"/>
      <c r="M71" s="323"/>
      <c r="N71" s="323"/>
    </row>
    <row r="72" spans="1:14" s="738" customFormat="1" ht="12" customHeight="1">
      <c r="A72" s="318"/>
      <c r="B72" s="324"/>
      <c r="C72" s="320"/>
      <c r="D72" s="320"/>
      <c r="E72" s="320"/>
      <c r="F72" s="320"/>
      <c r="G72" s="739"/>
      <c r="H72" s="335"/>
      <c r="I72" s="335"/>
      <c r="K72" s="321"/>
      <c r="L72" s="321"/>
      <c r="M72" s="323"/>
      <c r="N72" s="323"/>
    </row>
    <row r="73" spans="1:14" s="738" customFormat="1" ht="12" customHeight="1">
      <c r="A73" s="318"/>
      <c r="B73" s="324"/>
      <c r="C73" s="320"/>
      <c r="D73" s="320"/>
      <c r="E73" s="320"/>
      <c r="F73" s="320"/>
      <c r="G73" s="739"/>
      <c r="H73" s="335"/>
      <c r="I73" s="335"/>
      <c r="K73" s="321"/>
      <c r="L73" s="321"/>
      <c r="M73" s="323"/>
      <c r="N73" s="323"/>
    </row>
    <row r="74" spans="1:14" s="738" customFormat="1" ht="12" customHeight="1">
      <c r="A74" s="318"/>
      <c r="B74" s="324"/>
      <c r="C74" s="320"/>
      <c r="D74" s="320"/>
      <c r="E74" s="320"/>
      <c r="F74" s="320"/>
      <c r="G74" s="739"/>
      <c r="H74" s="335"/>
      <c r="I74" s="335"/>
      <c r="K74" s="321"/>
      <c r="L74" s="321"/>
      <c r="M74" s="323"/>
      <c r="N74" s="323"/>
    </row>
    <row r="75" spans="1:14" s="738" customFormat="1" ht="12" customHeight="1">
      <c r="A75" s="318"/>
      <c r="B75" s="324"/>
      <c r="C75" s="320"/>
      <c r="D75" s="320"/>
      <c r="E75" s="320"/>
      <c r="F75" s="320"/>
      <c r="G75" s="739"/>
      <c r="H75" s="335"/>
      <c r="I75" s="335"/>
      <c r="K75" s="321"/>
      <c r="L75" s="321"/>
      <c r="M75" s="323"/>
      <c r="N75" s="323"/>
    </row>
    <row r="76" spans="1:14" s="738" customFormat="1" ht="12" customHeight="1">
      <c r="A76" s="318"/>
      <c r="B76" s="324"/>
      <c r="C76" s="320"/>
      <c r="D76" s="320"/>
      <c r="E76" s="320"/>
      <c r="F76" s="320"/>
      <c r="G76" s="739"/>
      <c r="H76" s="335"/>
      <c r="I76" s="335"/>
      <c r="K76" s="321"/>
      <c r="L76" s="321"/>
      <c r="M76" s="323"/>
      <c r="N76" s="323"/>
    </row>
    <row r="77" spans="1:14" s="738" customFormat="1" ht="12" customHeight="1">
      <c r="A77" s="318"/>
      <c r="B77" s="324"/>
      <c r="C77" s="320"/>
      <c r="D77" s="320"/>
      <c r="E77" s="320"/>
      <c r="F77" s="320"/>
      <c r="G77" s="739"/>
      <c r="H77" s="335"/>
      <c r="I77" s="335"/>
      <c r="K77" s="321"/>
      <c r="L77" s="321"/>
      <c r="M77" s="323"/>
      <c r="N77" s="323"/>
    </row>
    <row r="78" spans="1:14" s="738" customFormat="1" ht="12" customHeight="1">
      <c r="A78" s="318"/>
      <c r="B78" s="324"/>
      <c r="C78" s="320"/>
      <c r="D78" s="320"/>
      <c r="E78" s="320"/>
      <c r="F78" s="320"/>
      <c r="G78" s="739"/>
      <c r="H78" s="335"/>
      <c r="I78" s="335"/>
      <c r="K78" s="321"/>
      <c r="L78" s="321"/>
      <c r="M78" s="323"/>
      <c r="N78" s="323"/>
    </row>
    <row r="79" spans="1:14" s="738" customFormat="1" ht="12" customHeight="1">
      <c r="A79" s="318"/>
      <c r="B79" s="324"/>
      <c r="C79" s="320"/>
      <c r="D79" s="320"/>
      <c r="E79" s="320"/>
      <c r="F79" s="320"/>
      <c r="G79" s="739"/>
      <c r="H79" s="335"/>
      <c r="I79" s="335"/>
      <c r="K79" s="321"/>
      <c r="L79" s="321"/>
      <c r="M79" s="323"/>
      <c r="N79" s="323"/>
    </row>
    <row r="80" spans="1:14" s="738" customFormat="1" ht="12" customHeight="1">
      <c r="A80" s="318"/>
      <c r="B80" s="324"/>
      <c r="C80" s="320"/>
      <c r="D80" s="320"/>
      <c r="E80" s="320"/>
      <c r="F80" s="320"/>
      <c r="G80" s="739"/>
      <c r="H80" s="335"/>
      <c r="I80" s="335"/>
      <c r="K80" s="321"/>
      <c r="L80" s="321"/>
      <c r="M80" s="323"/>
      <c r="N80" s="323"/>
    </row>
    <row r="81" spans="1:14" s="738" customFormat="1" ht="12" customHeight="1">
      <c r="A81" s="318"/>
      <c r="B81" s="324"/>
      <c r="C81" s="320"/>
      <c r="D81" s="320"/>
      <c r="E81" s="320"/>
      <c r="F81" s="320"/>
      <c r="G81" s="739"/>
      <c r="H81" s="335"/>
      <c r="I81" s="335"/>
      <c r="K81" s="321"/>
      <c r="L81" s="321"/>
      <c r="M81" s="323"/>
      <c r="N81" s="323"/>
    </row>
    <row r="82" spans="1:14" s="738" customFormat="1" ht="12" customHeight="1">
      <c r="A82" s="318"/>
      <c r="B82" s="324"/>
      <c r="C82" s="320"/>
      <c r="D82" s="320"/>
      <c r="E82" s="320"/>
      <c r="F82" s="320"/>
      <c r="G82" s="739"/>
      <c r="H82" s="335"/>
      <c r="I82" s="335"/>
      <c r="K82" s="321"/>
      <c r="L82" s="321"/>
      <c r="M82" s="323"/>
      <c r="N82" s="323"/>
    </row>
    <row r="83" spans="1:14" s="738" customFormat="1" ht="12" customHeight="1">
      <c r="A83" s="318"/>
      <c r="B83" s="324"/>
      <c r="C83" s="320"/>
      <c r="D83" s="320"/>
      <c r="E83" s="320"/>
      <c r="F83" s="320"/>
      <c r="G83" s="739"/>
      <c r="H83" s="335"/>
      <c r="I83" s="335"/>
      <c r="K83" s="321"/>
      <c r="L83" s="321"/>
      <c r="M83" s="323"/>
      <c r="N83" s="323"/>
    </row>
    <row r="84" spans="1:14" s="738" customFormat="1" ht="12" customHeight="1">
      <c r="A84" s="318"/>
      <c r="B84" s="324"/>
      <c r="C84" s="320"/>
      <c r="D84" s="320"/>
      <c r="E84" s="320"/>
      <c r="F84" s="320"/>
      <c r="G84" s="739"/>
      <c r="H84" s="335"/>
      <c r="I84" s="335"/>
      <c r="K84" s="321"/>
      <c r="L84" s="321"/>
      <c r="M84" s="323"/>
      <c r="N84" s="323"/>
    </row>
    <row r="85" spans="1:14" s="738" customFormat="1" ht="12" customHeight="1">
      <c r="A85" s="318"/>
      <c r="B85" s="324"/>
      <c r="C85" s="320"/>
      <c r="D85" s="320"/>
      <c r="E85" s="320"/>
      <c r="F85" s="320"/>
      <c r="G85" s="739"/>
      <c r="H85" s="335"/>
      <c r="I85" s="335"/>
      <c r="K85" s="321"/>
      <c r="L85" s="321"/>
      <c r="M85" s="323"/>
      <c r="N85" s="323"/>
    </row>
    <row r="86" spans="1:14" s="738" customFormat="1" ht="12" customHeight="1">
      <c r="A86" s="318"/>
      <c r="B86" s="324"/>
      <c r="C86" s="320"/>
      <c r="D86" s="320"/>
      <c r="E86" s="320"/>
      <c r="F86" s="320"/>
      <c r="G86" s="739"/>
      <c r="H86" s="335"/>
      <c r="I86" s="335"/>
      <c r="K86" s="321"/>
      <c r="L86" s="321"/>
      <c r="M86" s="323"/>
      <c r="N86" s="323"/>
    </row>
    <row r="87" spans="1:14" s="738" customFormat="1" ht="12" customHeight="1">
      <c r="A87" s="318"/>
      <c r="B87" s="324"/>
      <c r="C87" s="320"/>
      <c r="D87" s="320"/>
      <c r="E87" s="320"/>
      <c r="F87" s="320"/>
      <c r="G87" s="739"/>
      <c r="H87" s="335"/>
      <c r="I87" s="335"/>
      <c r="K87" s="321"/>
      <c r="L87" s="321"/>
      <c r="M87" s="323"/>
      <c r="N87" s="323"/>
    </row>
    <row r="88" spans="1:14" s="738" customFormat="1" ht="12" customHeight="1">
      <c r="A88" s="318"/>
      <c r="B88" s="324"/>
      <c r="C88" s="320"/>
      <c r="D88" s="320"/>
      <c r="E88" s="320"/>
      <c r="F88" s="320"/>
      <c r="G88" s="739"/>
      <c r="H88" s="335"/>
      <c r="I88" s="335"/>
      <c r="K88" s="321"/>
      <c r="L88" s="321"/>
      <c r="M88" s="323"/>
      <c r="N88" s="323"/>
    </row>
    <row r="89" spans="1:14" s="738" customFormat="1" ht="12" customHeight="1">
      <c r="A89" s="318"/>
      <c r="B89" s="324"/>
      <c r="C89" s="320"/>
      <c r="D89" s="320"/>
      <c r="E89" s="320"/>
      <c r="F89" s="320"/>
      <c r="G89" s="739"/>
      <c r="H89" s="335"/>
      <c r="I89" s="335"/>
      <c r="K89" s="321"/>
      <c r="L89" s="321"/>
      <c r="M89" s="323"/>
      <c r="N89" s="323"/>
    </row>
    <row r="90" spans="1:14" s="738" customFormat="1" ht="12" customHeight="1">
      <c r="A90" s="318"/>
      <c r="B90" s="324"/>
      <c r="C90" s="320"/>
      <c r="D90" s="320"/>
      <c r="E90" s="320"/>
      <c r="F90" s="320"/>
      <c r="G90" s="739"/>
      <c r="H90" s="335"/>
      <c r="I90" s="335"/>
      <c r="K90" s="321"/>
      <c r="L90" s="321"/>
      <c r="M90" s="323"/>
      <c r="N90" s="323"/>
    </row>
    <row r="91" spans="1:14" s="738" customFormat="1" ht="12" customHeight="1">
      <c r="A91" s="318"/>
      <c r="B91" s="324"/>
      <c r="C91" s="320"/>
      <c r="D91" s="320"/>
      <c r="E91" s="320"/>
      <c r="F91" s="320"/>
      <c r="G91" s="739"/>
      <c r="H91" s="335"/>
      <c r="I91" s="335"/>
      <c r="K91" s="321"/>
      <c r="L91" s="321"/>
      <c r="M91" s="323"/>
      <c r="N91" s="323"/>
    </row>
    <row r="92" spans="1:14" s="738" customFormat="1" ht="12" customHeight="1">
      <c r="A92" s="318"/>
      <c r="B92" s="324"/>
      <c r="C92" s="320"/>
      <c r="D92" s="320"/>
      <c r="E92" s="320"/>
      <c r="F92" s="320"/>
      <c r="G92" s="739"/>
      <c r="H92" s="335"/>
      <c r="I92" s="335"/>
      <c r="K92" s="321"/>
      <c r="L92" s="321"/>
      <c r="M92" s="323"/>
      <c r="N92" s="323"/>
    </row>
    <row r="93" spans="1:14" s="738" customFormat="1" ht="12" customHeight="1">
      <c r="A93" s="318"/>
      <c r="B93" s="324"/>
      <c r="C93" s="320"/>
      <c r="D93" s="320"/>
      <c r="E93" s="320"/>
      <c r="F93" s="320"/>
      <c r="G93" s="739"/>
      <c r="H93" s="335"/>
      <c r="I93" s="335"/>
      <c r="K93" s="321"/>
      <c r="L93" s="321"/>
      <c r="M93" s="323"/>
      <c r="N93" s="323"/>
    </row>
    <row r="94" spans="1:14" s="738" customFormat="1" ht="12" customHeight="1">
      <c r="A94" s="318"/>
      <c r="B94" s="324"/>
      <c r="C94" s="320"/>
      <c r="D94" s="320"/>
      <c r="E94" s="320"/>
      <c r="F94" s="320"/>
      <c r="G94" s="739"/>
      <c r="H94" s="335"/>
      <c r="I94" s="335"/>
      <c r="K94" s="321"/>
      <c r="L94" s="321"/>
      <c r="M94" s="323"/>
      <c r="N94" s="323"/>
    </row>
    <row r="95" spans="1:14" s="738" customFormat="1" ht="12" customHeight="1">
      <c r="A95" s="318"/>
      <c r="B95" s="324"/>
      <c r="C95" s="320"/>
      <c r="D95" s="320"/>
      <c r="E95" s="320"/>
      <c r="F95" s="320"/>
      <c r="G95" s="739"/>
      <c r="H95" s="335"/>
      <c r="I95" s="335"/>
      <c r="K95" s="321"/>
      <c r="L95" s="321"/>
      <c r="M95" s="323"/>
      <c r="N95" s="323"/>
    </row>
    <row r="96" spans="1:14" s="738" customFormat="1" ht="12" customHeight="1">
      <c r="A96" s="318"/>
      <c r="B96" s="324"/>
      <c r="C96" s="320"/>
      <c r="D96" s="320"/>
      <c r="E96" s="320"/>
      <c r="F96" s="320"/>
      <c r="G96" s="739"/>
      <c r="H96" s="335"/>
      <c r="I96" s="335"/>
      <c r="K96" s="321"/>
      <c r="L96" s="321"/>
      <c r="M96" s="323"/>
      <c r="N96" s="323"/>
    </row>
    <row r="97" spans="1:14" s="738" customFormat="1" ht="12" customHeight="1">
      <c r="A97" s="318"/>
      <c r="B97" s="324"/>
      <c r="C97" s="320"/>
      <c r="D97" s="320"/>
      <c r="E97" s="320"/>
      <c r="F97" s="320"/>
      <c r="G97" s="739"/>
      <c r="H97" s="335"/>
      <c r="I97" s="335"/>
      <c r="K97" s="321"/>
      <c r="L97" s="321"/>
      <c r="M97" s="323"/>
      <c r="N97" s="323"/>
    </row>
    <row r="98" spans="1:14" s="738" customFormat="1" ht="12" customHeight="1">
      <c r="A98" s="318"/>
      <c r="B98" s="324"/>
      <c r="C98" s="320"/>
      <c r="D98" s="320"/>
      <c r="E98" s="320"/>
      <c r="F98" s="320"/>
      <c r="G98" s="739"/>
      <c r="H98" s="335"/>
      <c r="I98" s="335"/>
      <c r="K98" s="321"/>
      <c r="L98" s="321"/>
      <c r="M98" s="323"/>
      <c r="N98" s="323"/>
    </row>
    <row r="99" spans="1:14" s="738" customFormat="1" ht="12" customHeight="1">
      <c r="A99" s="318"/>
      <c r="B99" s="324"/>
      <c r="C99" s="320"/>
      <c r="D99" s="320"/>
      <c r="E99" s="320"/>
      <c r="F99" s="320"/>
      <c r="G99" s="739"/>
      <c r="H99" s="335"/>
      <c r="I99" s="335"/>
      <c r="K99" s="321"/>
      <c r="L99" s="321"/>
      <c r="M99" s="323"/>
      <c r="N99" s="323"/>
    </row>
    <row r="100" spans="1:14" s="738" customFormat="1" ht="12" customHeight="1">
      <c r="A100" s="318"/>
      <c r="B100" s="324"/>
      <c r="C100" s="320"/>
      <c r="D100" s="320"/>
      <c r="E100" s="320"/>
      <c r="F100" s="320"/>
      <c r="G100" s="739"/>
      <c r="H100" s="335"/>
      <c r="I100" s="335"/>
      <c r="K100" s="321"/>
      <c r="L100" s="321"/>
      <c r="M100" s="323"/>
      <c r="N100" s="323"/>
    </row>
    <row r="101" spans="1:14" s="738" customFormat="1" ht="12" customHeight="1">
      <c r="A101" s="318"/>
      <c r="B101" s="324"/>
      <c r="C101" s="320"/>
      <c r="D101" s="320"/>
      <c r="E101" s="320"/>
      <c r="F101" s="320"/>
      <c r="G101" s="739"/>
      <c r="H101" s="335"/>
      <c r="I101" s="335"/>
      <c r="K101" s="321"/>
      <c r="L101" s="321"/>
      <c r="M101" s="323"/>
      <c r="N101" s="323"/>
    </row>
    <row r="102" spans="1:14" s="738" customFormat="1" ht="12" customHeight="1">
      <c r="A102" s="318"/>
      <c r="B102" s="324"/>
      <c r="C102" s="320"/>
      <c r="D102" s="320"/>
      <c r="E102" s="320"/>
      <c r="F102" s="320"/>
      <c r="G102" s="739"/>
      <c r="H102" s="335"/>
      <c r="I102" s="335"/>
      <c r="K102" s="321"/>
      <c r="L102" s="321"/>
      <c r="M102" s="323"/>
      <c r="N102" s="323"/>
    </row>
    <row r="103" spans="1:14" s="738" customFormat="1" ht="12" customHeight="1">
      <c r="A103" s="318"/>
      <c r="B103" s="324"/>
      <c r="C103" s="320"/>
      <c r="D103" s="320"/>
      <c r="E103" s="320"/>
      <c r="F103" s="320"/>
      <c r="G103" s="739"/>
      <c r="H103" s="335"/>
      <c r="I103" s="335"/>
      <c r="K103" s="321"/>
      <c r="L103" s="321"/>
      <c r="M103" s="323"/>
      <c r="N103" s="323"/>
    </row>
    <row r="104" spans="1:14" s="738" customFormat="1" ht="12" customHeight="1">
      <c r="A104" s="318"/>
      <c r="B104" s="324"/>
      <c r="C104" s="320"/>
      <c r="D104" s="320"/>
      <c r="E104" s="320"/>
      <c r="F104" s="320"/>
      <c r="G104" s="739"/>
      <c r="H104" s="335"/>
      <c r="I104" s="335"/>
      <c r="K104" s="321"/>
      <c r="L104" s="321"/>
      <c r="M104" s="323"/>
      <c r="N104" s="323"/>
    </row>
    <row r="105" spans="1:14" s="738" customFormat="1" ht="12" customHeight="1">
      <c r="A105" s="318"/>
      <c r="B105" s="324"/>
      <c r="C105" s="320"/>
      <c r="D105" s="320"/>
      <c r="E105" s="320"/>
      <c r="F105" s="320"/>
      <c r="G105" s="739"/>
      <c r="H105" s="335"/>
      <c r="I105" s="335"/>
      <c r="K105" s="321"/>
      <c r="L105" s="321"/>
      <c r="M105" s="323"/>
      <c r="N105" s="323"/>
    </row>
    <row r="106" spans="1:14" s="738" customFormat="1" ht="12" customHeight="1">
      <c r="A106" s="318"/>
      <c r="B106" s="324"/>
      <c r="C106" s="320"/>
      <c r="D106" s="320"/>
      <c r="E106" s="320"/>
      <c r="F106" s="320"/>
      <c r="G106" s="739"/>
      <c r="H106" s="335"/>
      <c r="I106" s="335"/>
      <c r="K106" s="321"/>
      <c r="L106" s="321"/>
      <c r="M106" s="323"/>
      <c r="N106" s="323"/>
    </row>
    <row r="107" spans="1:14" s="738" customFormat="1" ht="12" customHeight="1">
      <c r="A107" s="318"/>
      <c r="B107" s="324"/>
      <c r="C107" s="320"/>
      <c r="D107" s="320"/>
      <c r="E107" s="320"/>
      <c r="F107" s="320"/>
      <c r="G107" s="739"/>
      <c r="H107" s="335"/>
      <c r="I107" s="335"/>
      <c r="K107" s="321"/>
      <c r="L107" s="321"/>
      <c r="M107" s="323"/>
      <c r="N107" s="323"/>
    </row>
    <row r="108" spans="1:14" s="738" customFormat="1" ht="12" customHeight="1">
      <c r="A108" s="318"/>
      <c r="B108" s="324"/>
      <c r="C108" s="320"/>
      <c r="D108" s="320"/>
      <c r="E108" s="320"/>
      <c r="F108" s="320"/>
      <c r="G108" s="739"/>
      <c r="H108" s="335"/>
      <c r="I108" s="335"/>
      <c r="K108" s="321"/>
      <c r="L108" s="321"/>
      <c r="M108" s="323"/>
      <c r="N108" s="323"/>
    </row>
    <row r="109" spans="1:14" s="738" customFormat="1" ht="12" customHeight="1">
      <c r="A109" s="318"/>
      <c r="B109" s="324"/>
      <c r="C109" s="320"/>
      <c r="D109" s="320"/>
      <c r="E109" s="320"/>
      <c r="F109" s="320"/>
      <c r="G109" s="739"/>
      <c r="H109" s="335"/>
      <c r="I109" s="335"/>
      <c r="K109" s="321"/>
      <c r="L109" s="321"/>
      <c r="M109" s="323"/>
      <c r="N109" s="323"/>
    </row>
    <row r="110" spans="1:14" s="738" customFormat="1" ht="12" customHeight="1">
      <c r="A110" s="318"/>
      <c r="B110" s="324"/>
      <c r="C110" s="320"/>
      <c r="D110" s="320"/>
      <c r="E110" s="320"/>
      <c r="F110" s="320"/>
      <c r="G110" s="739"/>
      <c r="H110" s="335"/>
      <c r="I110" s="335"/>
      <c r="K110" s="321"/>
      <c r="L110" s="321"/>
      <c r="M110" s="323"/>
      <c r="N110" s="323"/>
    </row>
    <row r="111" spans="1:14" s="738" customFormat="1" ht="12" customHeight="1">
      <c r="A111" s="318"/>
      <c r="B111" s="324"/>
      <c r="C111" s="320"/>
      <c r="D111" s="320"/>
      <c r="E111" s="320"/>
      <c r="F111" s="320"/>
      <c r="G111" s="739"/>
      <c r="H111" s="335"/>
      <c r="I111" s="335"/>
      <c r="K111" s="321"/>
      <c r="L111" s="321"/>
      <c r="M111" s="323"/>
      <c r="N111" s="323"/>
    </row>
    <row r="112" spans="1:14" s="738" customFormat="1" ht="12" customHeight="1">
      <c r="A112" s="318"/>
      <c r="B112" s="324"/>
      <c r="C112" s="320"/>
      <c r="D112" s="320"/>
      <c r="E112" s="320"/>
      <c r="F112" s="320"/>
      <c r="G112" s="739"/>
      <c r="H112" s="335"/>
      <c r="I112" s="335"/>
      <c r="K112" s="321"/>
      <c r="L112" s="321"/>
      <c r="M112" s="323"/>
      <c r="N112" s="323"/>
    </row>
    <row r="113" spans="1:14" s="738" customFormat="1" ht="12" customHeight="1">
      <c r="A113" s="318"/>
      <c r="B113" s="324"/>
      <c r="C113" s="320"/>
      <c r="D113" s="320"/>
      <c r="E113" s="320"/>
      <c r="F113" s="320"/>
      <c r="G113" s="739"/>
      <c r="H113" s="335"/>
      <c r="I113" s="335"/>
      <c r="K113" s="321"/>
      <c r="L113" s="321"/>
      <c r="M113" s="323"/>
      <c r="N113" s="323"/>
    </row>
    <row r="114" spans="1:14" s="738" customFormat="1" ht="12" customHeight="1">
      <c r="A114" s="318"/>
      <c r="B114" s="324"/>
      <c r="C114" s="320"/>
      <c r="D114" s="320"/>
      <c r="E114" s="320"/>
      <c r="F114" s="320"/>
      <c r="G114" s="739"/>
      <c r="H114" s="335"/>
      <c r="I114" s="335"/>
      <c r="K114" s="321"/>
      <c r="L114" s="321"/>
      <c r="M114" s="323"/>
      <c r="N114" s="323"/>
    </row>
    <row r="115" spans="1:14" s="738" customFormat="1" ht="12" customHeight="1">
      <c r="A115" s="318"/>
      <c r="B115" s="324"/>
      <c r="C115" s="320"/>
      <c r="D115" s="320"/>
      <c r="E115" s="320"/>
      <c r="F115" s="320"/>
      <c r="G115" s="739"/>
      <c r="H115" s="335"/>
      <c r="I115" s="335"/>
      <c r="K115" s="321"/>
      <c r="L115" s="321"/>
      <c r="M115" s="323"/>
      <c r="N115" s="323"/>
    </row>
    <row r="116" spans="1:14" s="738" customFormat="1" ht="12" customHeight="1">
      <c r="A116" s="318"/>
      <c r="B116" s="324"/>
      <c r="C116" s="320"/>
      <c r="D116" s="320"/>
      <c r="E116" s="320"/>
      <c r="F116" s="320"/>
      <c r="G116" s="739"/>
      <c r="H116" s="335"/>
      <c r="I116" s="335"/>
      <c r="K116" s="321"/>
      <c r="L116" s="321"/>
      <c r="M116" s="323"/>
      <c r="N116" s="323"/>
    </row>
    <row r="117" spans="1:14" s="738" customFormat="1" ht="12" customHeight="1">
      <c r="A117" s="318"/>
      <c r="B117" s="324"/>
      <c r="C117" s="320"/>
      <c r="D117" s="320"/>
      <c r="E117" s="320"/>
      <c r="F117" s="320"/>
      <c r="G117" s="739"/>
      <c r="H117" s="335"/>
      <c r="I117" s="335"/>
      <c r="K117" s="321"/>
      <c r="L117" s="321"/>
      <c r="M117" s="323"/>
      <c r="N117" s="323"/>
    </row>
    <row r="118" spans="1:14" s="738" customFormat="1" ht="12" customHeight="1">
      <c r="A118" s="318"/>
      <c r="B118" s="324"/>
      <c r="C118" s="320"/>
      <c r="D118" s="320"/>
      <c r="E118" s="320"/>
      <c r="F118" s="320"/>
      <c r="G118" s="739"/>
      <c r="H118" s="335"/>
      <c r="I118" s="335"/>
      <c r="K118" s="321"/>
      <c r="L118" s="321"/>
      <c r="M118" s="323"/>
      <c r="N118" s="323"/>
    </row>
    <row r="119" spans="1:14" s="738" customFormat="1" ht="12" customHeight="1">
      <c r="A119" s="318"/>
      <c r="B119" s="324"/>
      <c r="C119" s="320"/>
      <c r="D119" s="320"/>
      <c r="E119" s="320"/>
      <c r="F119" s="320"/>
      <c r="G119" s="739"/>
      <c r="H119" s="335"/>
      <c r="I119" s="335"/>
      <c r="K119" s="321"/>
      <c r="L119" s="321"/>
      <c r="M119" s="323"/>
      <c r="N119" s="323"/>
    </row>
    <row r="120" spans="1:14" s="738" customFormat="1" ht="12" customHeight="1">
      <c r="A120" s="318"/>
      <c r="B120" s="324"/>
      <c r="C120" s="320"/>
      <c r="D120" s="320"/>
      <c r="E120" s="320"/>
      <c r="F120" s="320"/>
      <c r="G120" s="739"/>
      <c r="H120" s="335"/>
      <c r="I120" s="335"/>
      <c r="K120" s="321"/>
      <c r="L120" s="321"/>
      <c r="M120" s="323"/>
      <c r="N120" s="323"/>
    </row>
    <row r="121" spans="1:14" s="738" customFormat="1" ht="12" customHeight="1">
      <c r="A121" s="318"/>
      <c r="B121" s="324"/>
      <c r="C121" s="320"/>
      <c r="D121" s="320"/>
      <c r="E121" s="320"/>
      <c r="F121" s="320"/>
      <c r="G121" s="739"/>
      <c r="H121" s="335"/>
      <c r="I121" s="335"/>
      <c r="K121" s="321"/>
      <c r="L121" s="321"/>
      <c r="M121" s="323"/>
      <c r="N121" s="323"/>
    </row>
    <row r="122" spans="1:14" s="738" customFormat="1" ht="12" customHeight="1">
      <c r="A122" s="318"/>
      <c r="B122" s="324"/>
      <c r="C122" s="320"/>
      <c r="D122" s="320"/>
      <c r="E122" s="320"/>
      <c r="F122" s="320"/>
      <c r="G122" s="739"/>
      <c r="H122" s="335"/>
      <c r="I122" s="335"/>
      <c r="K122" s="321"/>
      <c r="L122" s="321"/>
      <c r="M122" s="323"/>
      <c r="N122" s="323"/>
    </row>
    <row r="123" spans="1:14" s="738" customFormat="1" ht="12" customHeight="1">
      <c r="A123" s="318"/>
      <c r="B123" s="324"/>
      <c r="C123" s="320"/>
      <c r="D123" s="320"/>
      <c r="E123" s="320"/>
      <c r="F123" s="320"/>
      <c r="G123" s="739"/>
      <c r="H123" s="335"/>
      <c r="I123" s="335"/>
      <c r="K123" s="321"/>
      <c r="L123" s="321"/>
      <c r="M123" s="323"/>
      <c r="N123" s="323"/>
    </row>
    <row r="124" spans="1:14" s="738" customFormat="1" ht="12" customHeight="1">
      <c r="A124" s="318"/>
      <c r="B124" s="324"/>
      <c r="C124" s="320"/>
      <c r="D124" s="320"/>
      <c r="E124" s="320"/>
      <c r="F124" s="320"/>
      <c r="G124" s="739"/>
      <c r="H124" s="335"/>
      <c r="I124" s="335"/>
      <c r="K124" s="321"/>
      <c r="L124" s="321"/>
      <c r="M124" s="323"/>
      <c r="N124" s="323"/>
    </row>
    <row r="125" spans="1:14" s="738" customFormat="1" ht="12" customHeight="1">
      <c r="A125" s="318"/>
      <c r="B125" s="324"/>
      <c r="C125" s="320"/>
      <c r="D125" s="320"/>
      <c r="E125" s="320"/>
      <c r="F125" s="320"/>
      <c r="G125" s="739"/>
      <c r="H125" s="335"/>
      <c r="I125" s="335"/>
      <c r="K125" s="321"/>
      <c r="L125" s="321"/>
      <c r="M125" s="323"/>
      <c r="N125" s="323"/>
    </row>
    <row r="126" spans="1:14" s="738" customFormat="1" ht="12" customHeight="1">
      <c r="A126" s="318"/>
      <c r="B126" s="324"/>
      <c r="C126" s="320"/>
      <c r="D126" s="320"/>
      <c r="E126" s="320"/>
      <c r="F126" s="320"/>
      <c r="G126" s="739"/>
      <c r="H126" s="335"/>
      <c r="I126" s="335"/>
      <c r="K126" s="321"/>
      <c r="L126" s="321"/>
      <c r="M126" s="323"/>
      <c r="N126" s="323"/>
    </row>
    <row r="127" spans="1:14" s="738" customFormat="1" ht="12" customHeight="1">
      <c r="A127" s="318"/>
      <c r="B127" s="324"/>
      <c r="C127" s="320"/>
      <c r="D127" s="320"/>
      <c r="E127" s="320"/>
      <c r="F127" s="320"/>
      <c r="G127" s="739"/>
      <c r="H127" s="335"/>
      <c r="I127" s="335"/>
      <c r="K127" s="321"/>
      <c r="L127" s="321"/>
      <c r="M127" s="323"/>
      <c r="N127" s="323"/>
    </row>
    <row r="128" spans="1:14" s="738" customFormat="1" ht="12" customHeight="1">
      <c r="A128" s="318"/>
      <c r="B128" s="324"/>
      <c r="C128" s="320"/>
      <c r="D128" s="320"/>
      <c r="E128" s="320"/>
      <c r="F128" s="320"/>
      <c r="G128" s="739"/>
      <c r="H128" s="335"/>
      <c r="I128" s="335"/>
      <c r="K128" s="321"/>
      <c r="L128" s="321"/>
      <c r="M128" s="323"/>
      <c r="N128" s="323"/>
    </row>
    <row r="129" spans="1:14" s="738" customFormat="1" ht="12" customHeight="1">
      <c r="A129" s="318"/>
      <c r="B129" s="324"/>
      <c r="C129" s="320"/>
      <c r="D129" s="320"/>
      <c r="E129" s="320"/>
      <c r="F129" s="320"/>
      <c r="G129" s="739"/>
      <c r="H129" s="335"/>
      <c r="I129" s="335"/>
      <c r="K129" s="321"/>
      <c r="L129" s="321"/>
      <c r="M129" s="323"/>
      <c r="N129" s="323"/>
    </row>
    <row r="130" spans="1:14" s="738" customFormat="1" ht="12" customHeight="1">
      <c r="A130" s="318"/>
      <c r="B130" s="324"/>
      <c r="C130" s="320"/>
      <c r="D130" s="320"/>
      <c r="E130" s="320"/>
      <c r="F130" s="320"/>
      <c r="G130" s="739"/>
      <c r="H130" s="335"/>
      <c r="I130" s="335"/>
      <c r="K130" s="321"/>
      <c r="L130" s="321"/>
      <c r="M130" s="323"/>
      <c r="N130" s="323"/>
    </row>
    <row r="131" spans="1:14" s="738" customFormat="1" ht="12" customHeight="1">
      <c r="A131" s="318"/>
      <c r="B131" s="324"/>
      <c r="C131" s="320"/>
      <c r="D131" s="320"/>
      <c r="E131" s="320"/>
      <c r="F131" s="320"/>
      <c r="G131" s="739"/>
      <c r="H131" s="335"/>
      <c r="I131" s="335"/>
      <c r="K131" s="321"/>
      <c r="L131" s="321"/>
      <c r="M131" s="323"/>
      <c r="N131" s="323"/>
    </row>
    <row r="132" spans="1:14" s="738" customFormat="1" ht="12" customHeight="1">
      <c r="A132" s="318"/>
      <c r="B132" s="324"/>
      <c r="C132" s="320"/>
      <c r="D132" s="320"/>
      <c r="E132" s="320"/>
      <c r="F132" s="320"/>
      <c r="G132" s="739"/>
      <c r="H132" s="335"/>
      <c r="I132" s="335"/>
      <c r="K132" s="321"/>
      <c r="L132" s="321"/>
      <c r="M132" s="323"/>
      <c r="N132" s="323"/>
    </row>
    <row r="133" spans="1:14" s="738" customFormat="1" ht="12" customHeight="1">
      <c r="A133" s="318"/>
      <c r="B133" s="324"/>
      <c r="C133" s="320"/>
      <c r="D133" s="320"/>
      <c r="E133" s="320"/>
      <c r="F133" s="320"/>
      <c r="G133" s="739"/>
      <c r="H133" s="335"/>
      <c r="I133" s="335"/>
      <c r="K133" s="321"/>
      <c r="L133" s="321"/>
      <c r="M133" s="323"/>
      <c r="N133" s="323"/>
    </row>
    <row r="134" spans="1:14" s="738" customFormat="1" ht="12" customHeight="1">
      <c r="A134" s="318"/>
      <c r="B134" s="324"/>
      <c r="C134" s="320"/>
      <c r="D134" s="320"/>
      <c r="E134" s="320"/>
      <c r="F134" s="320"/>
      <c r="G134" s="739"/>
      <c r="H134" s="335"/>
      <c r="I134" s="335"/>
      <c r="K134" s="321"/>
      <c r="L134" s="321"/>
      <c r="M134" s="323"/>
      <c r="N134" s="323"/>
    </row>
    <row r="135" spans="1:14" s="738" customFormat="1" ht="12" customHeight="1">
      <c r="A135" s="318"/>
      <c r="B135" s="324"/>
      <c r="C135" s="320"/>
      <c r="D135" s="320"/>
      <c r="E135" s="320"/>
      <c r="F135" s="320"/>
      <c r="G135" s="739"/>
      <c r="H135" s="335"/>
      <c r="I135" s="335"/>
      <c r="K135" s="321"/>
      <c r="L135" s="321"/>
      <c r="M135" s="323"/>
      <c r="N135" s="323"/>
    </row>
  </sheetData>
  <mergeCells count="7">
    <mergeCell ref="A23:J23"/>
    <mergeCell ref="A5:J5"/>
    <mergeCell ref="A8:J8"/>
    <mergeCell ref="A11:J11"/>
    <mergeCell ref="A14:J14"/>
    <mergeCell ref="A17:J17"/>
    <mergeCell ref="A20:J20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77" fitToHeight="3" orientation="landscape" r:id="rId1"/>
  <headerFooter alignWithMargins="0"/>
  <legacy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38"/>
  <sheetViews>
    <sheetView view="pageBreakPreview" topLeftCell="A2" zoomScale="85" zoomScaleNormal="115" workbookViewId="0">
      <selection activeCell="A2" sqref="A1:XFD1048576"/>
    </sheetView>
  </sheetViews>
  <sheetFormatPr defaultRowHeight="12" customHeight="1"/>
  <cols>
    <col min="1" max="1" width="8.5546875" style="318" customWidth="1"/>
    <col min="2" max="2" width="4.109375" style="324" customWidth="1"/>
    <col min="3" max="3" width="5.44140625" style="324" customWidth="1"/>
    <col min="4" max="4" width="19.6640625" style="324" customWidth="1"/>
    <col min="5" max="5" width="37" style="324" customWidth="1"/>
    <col min="6" max="6" width="12.5546875" style="324" customWidth="1"/>
    <col min="7" max="7" width="5.33203125" style="737" customWidth="1"/>
    <col min="8" max="8" width="10.5546875" style="336" customWidth="1"/>
    <col min="9" max="9" width="8.88671875" style="336"/>
    <col min="10" max="10" width="9" style="749" customWidth="1"/>
    <col min="11" max="11" width="8.5546875" style="321" customWidth="1"/>
    <col min="12" max="12" width="6.44140625" style="321" customWidth="1"/>
    <col min="13" max="258" width="8.88671875" style="323"/>
    <col min="259" max="259" width="8.5546875" style="323" customWidth="1"/>
    <col min="260" max="260" width="4.109375" style="323" customWidth="1"/>
    <col min="261" max="261" width="19.6640625" style="323" customWidth="1"/>
    <col min="262" max="262" width="37" style="323" customWidth="1"/>
    <col min="263" max="263" width="12.5546875" style="323" customWidth="1"/>
    <col min="264" max="264" width="5.33203125" style="323" customWidth="1"/>
    <col min="265" max="265" width="10.5546875" style="323" customWidth="1"/>
    <col min="266" max="266" width="8.88671875" style="323"/>
    <col min="267" max="267" width="9" style="323" customWidth="1"/>
    <col min="268" max="268" width="6.44140625" style="323" customWidth="1"/>
    <col min="269" max="514" width="8.88671875" style="323"/>
    <col min="515" max="515" width="8.5546875" style="323" customWidth="1"/>
    <col min="516" max="516" width="4.109375" style="323" customWidth="1"/>
    <col min="517" max="517" width="19.6640625" style="323" customWidth="1"/>
    <col min="518" max="518" width="37" style="323" customWidth="1"/>
    <col min="519" max="519" width="12.5546875" style="323" customWidth="1"/>
    <col min="520" max="520" width="5.33203125" style="323" customWidth="1"/>
    <col min="521" max="521" width="10.5546875" style="323" customWidth="1"/>
    <col min="522" max="522" width="8.88671875" style="323"/>
    <col min="523" max="523" width="9" style="323" customWidth="1"/>
    <col min="524" max="524" width="6.44140625" style="323" customWidth="1"/>
    <col min="525" max="770" width="8.88671875" style="323"/>
    <col min="771" max="771" width="8.5546875" style="323" customWidth="1"/>
    <col min="772" max="772" width="4.109375" style="323" customWidth="1"/>
    <col min="773" max="773" width="19.6640625" style="323" customWidth="1"/>
    <col min="774" max="774" width="37" style="323" customWidth="1"/>
    <col min="775" max="775" width="12.5546875" style="323" customWidth="1"/>
    <col min="776" max="776" width="5.33203125" style="323" customWidth="1"/>
    <col min="777" max="777" width="10.5546875" style="323" customWidth="1"/>
    <col min="778" max="778" width="8.88671875" style="323"/>
    <col min="779" max="779" width="9" style="323" customWidth="1"/>
    <col min="780" max="780" width="6.44140625" style="323" customWidth="1"/>
    <col min="781" max="1026" width="8.88671875" style="323"/>
    <col min="1027" max="1027" width="8.5546875" style="323" customWidth="1"/>
    <col min="1028" max="1028" width="4.109375" style="323" customWidth="1"/>
    <col min="1029" max="1029" width="19.6640625" style="323" customWidth="1"/>
    <col min="1030" max="1030" width="37" style="323" customWidth="1"/>
    <col min="1031" max="1031" width="12.5546875" style="323" customWidth="1"/>
    <col min="1032" max="1032" width="5.33203125" style="323" customWidth="1"/>
    <col min="1033" max="1033" width="10.5546875" style="323" customWidth="1"/>
    <col min="1034" max="1034" width="8.88671875" style="323"/>
    <col min="1035" max="1035" width="9" style="323" customWidth="1"/>
    <col min="1036" max="1036" width="6.44140625" style="323" customWidth="1"/>
    <col min="1037" max="1282" width="8.88671875" style="323"/>
    <col min="1283" max="1283" width="8.5546875" style="323" customWidth="1"/>
    <col min="1284" max="1284" width="4.109375" style="323" customWidth="1"/>
    <col min="1285" max="1285" width="19.6640625" style="323" customWidth="1"/>
    <col min="1286" max="1286" width="37" style="323" customWidth="1"/>
    <col min="1287" max="1287" width="12.5546875" style="323" customWidth="1"/>
    <col min="1288" max="1288" width="5.33203125" style="323" customWidth="1"/>
    <col min="1289" max="1289" width="10.5546875" style="323" customWidth="1"/>
    <col min="1290" max="1290" width="8.88671875" style="323"/>
    <col min="1291" max="1291" width="9" style="323" customWidth="1"/>
    <col min="1292" max="1292" width="6.44140625" style="323" customWidth="1"/>
    <col min="1293" max="1538" width="8.88671875" style="323"/>
    <col min="1539" max="1539" width="8.5546875" style="323" customWidth="1"/>
    <col min="1540" max="1540" width="4.109375" style="323" customWidth="1"/>
    <col min="1541" max="1541" width="19.6640625" style="323" customWidth="1"/>
    <col min="1542" max="1542" width="37" style="323" customWidth="1"/>
    <col min="1543" max="1543" width="12.5546875" style="323" customWidth="1"/>
    <col min="1544" max="1544" width="5.33203125" style="323" customWidth="1"/>
    <col min="1545" max="1545" width="10.5546875" style="323" customWidth="1"/>
    <col min="1546" max="1546" width="8.88671875" style="323"/>
    <col min="1547" max="1547" width="9" style="323" customWidth="1"/>
    <col min="1548" max="1548" width="6.44140625" style="323" customWidth="1"/>
    <col min="1549" max="1794" width="8.88671875" style="323"/>
    <col min="1795" max="1795" width="8.5546875" style="323" customWidth="1"/>
    <col min="1796" max="1796" width="4.109375" style="323" customWidth="1"/>
    <col min="1797" max="1797" width="19.6640625" style="323" customWidth="1"/>
    <col min="1798" max="1798" width="37" style="323" customWidth="1"/>
    <col min="1799" max="1799" width="12.5546875" style="323" customWidth="1"/>
    <col min="1800" max="1800" width="5.33203125" style="323" customWidth="1"/>
    <col min="1801" max="1801" width="10.5546875" style="323" customWidth="1"/>
    <col min="1802" max="1802" width="8.88671875" style="323"/>
    <col min="1803" max="1803" width="9" style="323" customWidth="1"/>
    <col min="1804" max="1804" width="6.44140625" style="323" customWidth="1"/>
    <col min="1805" max="2050" width="8.88671875" style="323"/>
    <col min="2051" max="2051" width="8.5546875" style="323" customWidth="1"/>
    <col min="2052" max="2052" width="4.109375" style="323" customWidth="1"/>
    <col min="2053" max="2053" width="19.6640625" style="323" customWidth="1"/>
    <col min="2054" max="2054" width="37" style="323" customWidth="1"/>
    <col min="2055" max="2055" width="12.5546875" style="323" customWidth="1"/>
    <col min="2056" max="2056" width="5.33203125" style="323" customWidth="1"/>
    <col min="2057" max="2057" width="10.5546875" style="323" customWidth="1"/>
    <col min="2058" max="2058" width="8.88671875" style="323"/>
    <col min="2059" max="2059" width="9" style="323" customWidth="1"/>
    <col min="2060" max="2060" width="6.44140625" style="323" customWidth="1"/>
    <col min="2061" max="2306" width="8.88671875" style="323"/>
    <col min="2307" max="2307" width="8.5546875" style="323" customWidth="1"/>
    <col min="2308" max="2308" width="4.109375" style="323" customWidth="1"/>
    <col min="2309" max="2309" width="19.6640625" style="323" customWidth="1"/>
    <col min="2310" max="2310" width="37" style="323" customWidth="1"/>
    <col min="2311" max="2311" width="12.5546875" style="323" customWidth="1"/>
    <col min="2312" max="2312" width="5.33203125" style="323" customWidth="1"/>
    <col min="2313" max="2313" width="10.5546875" style="323" customWidth="1"/>
    <col min="2314" max="2314" width="8.88671875" style="323"/>
    <col min="2315" max="2315" width="9" style="323" customWidth="1"/>
    <col min="2316" max="2316" width="6.44140625" style="323" customWidth="1"/>
    <col min="2317" max="2562" width="8.88671875" style="323"/>
    <col min="2563" max="2563" width="8.5546875" style="323" customWidth="1"/>
    <col min="2564" max="2564" width="4.109375" style="323" customWidth="1"/>
    <col min="2565" max="2565" width="19.6640625" style="323" customWidth="1"/>
    <col min="2566" max="2566" width="37" style="323" customWidth="1"/>
    <col min="2567" max="2567" width="12.5546875" style="323" customWidth="1"/>
    <col min="2568" max="2568" width="5.33203125" style="323" customWidth="1"/>
    <col min="2569" max="2569" width="10.5546875" style="323" customWidth="1"/>
    <col min="2570" max="2570" width="8.88671875" style="323"/>
    <col min="2571" max="2571" width="9" style="323" customWidth="1"/>
    <col min="2572" max="2572" width="6.44140625" style="323" customWidth="1"/>
    <col min="2573" max="2818" width="8.88671875" style="323"/>
    <col min="2819" max="2819" width="8.5546875" style="323" customWidth="1"/>
    <col min="2820" max="2820" width="4.109375" style="323" customWidth="1"/>
    <col min="2821" max="2821" width="19.6640625" style="323" customWidth="1"/>
    <col min="2822" max="2822" width="37" style="323" customWidth="1"/>
    <col min="2823" max="2823" width="12.5546875" style="323" customWidth="1"/>
    <col min="2824" max="2824" width="5.33203125" style="323" customWidth="1"/>
    <col min="2825" max="2825" width="10.5546875" style="323" customWidth="1"/>
    <col min="2826" max="2826" width="8.88671875" style="323"/>
    <col min="2827" max="2827" width="9" style="323" customWidth="1"/>
    <col min="2828" max="2828" width="6.44140625" style="323" customWidth="1"/>
    <col min="2829" max="3074" width="8.88671875" style="323"/>
    <col min="3075" max="3075" width="8.5546875" style="323" customWidth="1"/>
    <col min="3076" max="3076" width="4.109375" style="323" customWidth="1"/>
    <col min="3077" max="3077" width="19.6640625" style="323" customWidth="1"/>
    <col min="3078" max="3078" width="37" style="323" customWidth="1"/>
    <col min="3079" max="3079" width="12.5546875" style="323" customWidth="1"/>
    <col min="3080" max="3080" width="5.33203125" style="323" customWidth="1"/>
    <col min="3081" max="3081" width="10.5546875" style="323" customWidth="1"/>
    <col min="3082" max="3082" width="8.88671875" style="323"/>
    <col min="3083" max="3083" width="9" style="323" customWidth="1"/>
    <col min="3084" max="3084" width="6.44140625" style="323" customWidth="1"/>
    <col min="3085" max="3330" width="8.88671875" style="323"/>
    <col min="3331" max="3331" width="8.5546875" style="323" customWidth="1"/>
    <col min="3332" max="3332" width="4.109375" style="323" customWidth="1"/>
    <col min="3333" max="3333" width="19.6640625" style="323" customWidth="1"/>
    <col min="3334" max="3334" width="37" style="323" customWidth="1"/>
    <col min="3335" max="3335" width="12.5546875" style="323" customWidth="1"/>
    <col min="3336" max="3336" width="5.33203125" style="323" customWidth="1"/>
    <col min="3337" max="3337" width="10.5546875" style="323" customWidth="1"/>
    <col min="3338" max="3338" width="8.88671875" style="323"/>
    <col min="3339" max="3339" width="9" style="323" customWidth="1"/>
    <col min="3340" max="3340" width="6.44140625" style="323" customWidth="1"/>
    <col min="3341" max="3586" width="8.88671875" style="323"/>
    <col min="3587" max="3587" width="8.5546875" style="323" customWidth="1"/>
    <col min="3588" max="3588" width="4.109375" style="323" customWidth="1"/>
    <col min="3589" max="3589" width="19.6640625" style="323" customWidth="1"/>
    <col min="3590" max="3590" width="37" style="323" customWidth="1"/>
    <col min="3591" max="3591" width="12.5546875" style="323" customWidth="1"/>
    <col min="3592" max="3592" width="5.33203125" style="323" customWidth="1"/>
    <col min="3593" max="3593" width="10.5546875" style="323" customWidth="1"/>
    <col min="3594" max="3594" width="8.88671875" style="323"/>
    <col min="3595" max="3595" width="9" style="323" customWidth="1"/>
    <col min="3596" max="3596" width="6.44140625" style="323" customWidth="1"/>
    <col min="3597" max="3842" width="8.88671875" style="323"/>
    <col min="3843" max="3843" width="8.5546875" style="323" customWidth="1"/>
    <col min="3844" max="3844" width="4.109375" style="323" customWidth="1"/>
    <col min="3845" max="3845" width="19.6640625" style="323" customWidth="1"/>
    <col min="3846" max="3846" width="37" style="323" customWidth="1"/>
    <col min="3847" max="3847" width="12.5546875" style="323" customWidth="1"/>
    <col min="3848" max="3848" width="5.33203125" style="323" customWidth="1"/>
    <col min="3849" max="3849" width="10.5546875" style="323" customWidth="1"/>
    <col min="3850" max="3850" width="8.88671875" style="323"/>
    <col min="3851" max="3851" width="9" style="323" customWidth="1"/>
    <col min="3852" max="3852" width="6.44140625" style="323" customWidth="1"/>
    <col min="3853" max="4098" width="8.88671875" style="323"/>
    <col min="4099" max="4099" width="8.5546875" style="323" customWidth="1"/>
    <col min="4100" max="4100" width="4.109375" style="323" customWidth="1"/>
    <col min="4101" max="4101" width="19.6640625" style="323" customWidth="1"/>
    <col min="4102" max="4102" width="37" style="323" customWidth="1"/>
    <col min="4103" max="4103" width="12.5546875" style="323" customWidth="1"/>
    <col min="4104" max="4104" width="5.33203125" style="323" customWidth="1"/>
    <col min="4105" max="4105" width="10.5546875" style="323" customWidth="1"/>
    <col min="4106" max="4106" width="8.88671875" style="323"/>
    <col min="4107" max="4107" width="9" style="323" customWidth="1"/>
    <col min="4108" max="4108" width="6.44140625" style="323" customWidth="1"/>
    <col min="4109" max="4354" width="8.88671875" style="323"/>
    <col min="4355" max="4355" width="8.5546875" style="323" customWidth="1"/>
    <col min="4356" max="4356" width="4.109375" style="323" customWidth="1"/>
    <col min="4357" max="4357" width="19.6640625" style="323" customWidth="1"/>
    <col min="4358" max="4358" width="37" style="323" customWidth="1"/>
    <col min="4359" max="4359" width="12.5546875" style="323" customWidth="1"/>
    <col min="4360" max="4360" width="5.33203125" style="323" customWidth="1"/>
    <col min="4361" max="4361" width="10.5546875" style="323" customWidth="1"/>
    <col min="4362" max="4362" width="8.88671875" style="323"/>
    <col min="4363" max="4363" width="9" style="323" customWidth="1"/>
    <col min="4364" max="4364" width="6.44140625" style="323" customWidth="1"/>
    <col min="4365" max="4610" width="8.88671875" style="323"/>
    <col min="4611" max="4611" width="8.5546875" style="323" customWidth="1"/>
    <col min="4612" max="4612" width="4.109375" style="323" customWidth="1"/>
    <col min="4613" max="4613" width="19.6640625" style="323" customWidth="1"/>
    <col min="4614" max="4614" width="37" style="323" customWidth="1"/>
    <col min="4615" max="4615" width="12.5546875" style="323" customWidth="1"/>
    <col min="4616" max="4616" width="5.33203125" style="323" customWidth="1"/>
    <col min="4617" max="4617" width="10.5546875" style="323" customWidth="1"/>
    <col min="4618" max="4618" width="8.88671875" style="323"/>
    <col min="4619" max="4619" width="9" style="323" customWidth="1"/>
    <col min="4620" max="4620" width="6.44140625" style="323" customWidth="1"/>
    <col min="4621" max="4866" width="8.88671875" style="323"/>
    <col min="4867" max="4867" width="8.5546875" style="323" customWidth="1"/>
    <col min="4868" max="4868" width="4.109375" style="323" customWidth="1"/>
    <col min="4869" max="4869" width="19.6640625" style="323" customWidth="1"/>
    <col min="4870" max="4870" width="37" style="323" customWidth="1"/>
    <col min="4871" max="4871" width="12.5546875" style="323" customWidth="1"/>
    <col min="4872" max="4872" width="5.33203125" style="323" customWidth="1"/>
    <col min="4873" max="4873" width="10.5546875" style="323" customWidth="1"/>
    <col min="4874" max="4874" width="8.88671875" style="323"/>
    <col min="4875" max="4875" width="9" style="323" customWidth="1"/>
    <col min="4876" max="4876" width="6.44140625" style="323" customWidth="1"/>
    <col min="4877" max="5122" width="8.88671875" style="323"/>
    <col min="5123" max="5123" width="8.5546875" style="323" customWidth="1"/>
    <col min="5124" max="5124" width="4.109375" style="323" customWidth="1"/>
    <col min="5125" max="5125" width="19.6640625" style="323" customWidth="1"/>
    <col min="5126" max="5126" width="37" style="323" customWidth="1"/>
    <col min="5127" max="5127" width="12.5546875" style="323" customWidth="1"/>
    <col min="5128" max="5128" width="5.33203125" style="323" customWidth="1"/>
    <col min="5129" max="5129" width="10.5546875" style="323" customWidth="1"/>
    <col min="5130" max="5130" width="8.88671875" style="323"/>
    <col min="5131" max="5131" width="9" style="323" customWidth="1"/>
    <col min="5132" max="5132" width="6.44140625" style="323" customWidth="1"/>
    <col min="5133" max="5378" width="8.88671875" style="323"/>
    <col min="5379" max="5379" width="8.5546875" style="323" customWidth="1"/>
    <col min="5380" max="5380" width="4.109375" style="323" customWidth="1"/>
    <col min="5381" max="5381" width="19.6640625" style="323" customWidth="1"/>
    <col min="5382" max="5382" width="37" style="323" customWidth="1"/>
    <col min="5383" max="5383" width="12.5546875" style="323" customWidth="1"/>
    <col min="5384" max="5384" width="5.33203125" style="323" customWidth="1"/>
    <col min="5385" max="5385" width="10.5546875" style="323" customWidth="1"/>
    <col min="5386" max="5386" width="8.88671875" style="323"/>
    <col min="5387" max="5387" width="9" style="323" customWidth="1"/>
    <col min="5388" max="5388" width="6.44140625" style="323" customWidth="1"/>
    <col min="5389" max="5634" width="8.88671875" style="323"/>
    <col min="5635" max="5635" width="8.5546875" style="323" customWidth="1"/>
    <col min="5636" max="5636" width="4.109375" style="323" customWidth="1"/>
    <col min="5637" max="5637" width="19.6640625" style="323" customWidth="1"/>
    <col min="5638" max="5638" width="37" style="323" customWidth="1"/>
    <col min="5639" max="5639" width="12.5546875" style="323" customWidth="1"/>
    <col min="5640" max="5640" width="5.33203125" style="323" customWidth="1"/>
    <col min="5641" max="5641" width="10.5546875" style="323" customWidth="1"/>
    <col min="5642" max="5642" width="8.88671875" style="323"/>
    <col min="5643" max="5643" width="9" style="323" customWidth="1"/>
    <col min="5644" max="5644" width="6.44140625" style="323" customWidth="1"/>
    <col min="5645" max="5890" width="8.88671875" style="323"/>
    <col min="5891" max="5891" width="8.5546875" style="323" customWidth="1"/>
    <col min="5892" max="5892" width="4.109375" style="323" customWidth="1"/>
    <col min="5893" max="5893" width="19.6640625" style="323" customWidth="1"/>
    <col min="5894" max="5894" width="37" style="323" customWidth="1"/>
    <col min="5895" max="5895" width="12.5546875" style="323" customWidth="1"/>
    <col min="5896" max="5896" width="5.33203125" style="323" customWidth="1"/>
    <col min="5897" max="5897" width="10.5546875" style="323" customWidth="1"/>
    <col min="5898" max="5898" width="8.88671875" style="323"/>
    <col min="5899" max="5899" width="9" style="323" customWidth="1"/>
    <col min="5900" max="5900" width="6.44140625" style="323" customWidth="1"/>
    <col min="5901" max="6146" width="8.88671875" style="323"/>
    <col min="6147" max="6147" width="8.5546875" style="323" customWidth="1"/>
    <col min="6148" max="6148" width="4.109375" style="323" customWidth="1"/>
    <col min="6149" max="6149" width="19.6640625" style="323" customWidth="1"/>
    <col min="6150" max="6150" width="37" style="323" customWidth="1"/>
    <col min="6151" max="6151" width="12.5546875" style="323" customWidth="1"/>
    <col min="6152" max="6152" width="5.33203125" style="323" customWidth="1"/>
    <col min="6153" max="6153" width="10.5546875" style="323" customWidth="1"/>
    <col min="6154" max="6154" width="8.88671875" style="323"/>
    <col min="6155" max="6155" width="9" style="323" customWidth="1"/>
    <col min="6156" max="6156" width="6.44140625" style="323" customWidth="1"/>
    <col min="6157" max="6402" width="8.88671875" style="323"/>
    <col min="6403" max="6403" width="8.5546875" style="323" customWidth="1"/>
    <col min="6404" max="6404" width="4.109375" style="323" customWidth="1"/>
    <col min="6405" max="6405" width="19.6640625" style="323" customWidth="1"/>
    <col min="6406" max="6406" width="37" style="323" customWidth="1"/>
    <col min="6407" max="6407" width="12.5546875" style="323" customWidth="1"/>
    <col min="6408" max="6408" width="5.33203125" style="323" customWidth="1"/>
    <col min="6409" max="6409" width="10.5546875" style="323" customWidth="1"/>
    <col min="6410" max="6410" width="8.88671875" style="323"/>
    <col min="6411" max="6411" width="9" style="323" customWidth="1"/>
    <col min="6412" max="6412" width="6.44140625" style="323" customWidth="1"/>
    <col min="6413" max="6658" width="8.88671875" style="323"/>
    <col min="6659" max="6659" width="8.5546875" style="323" customWidth="1"/>
    <col min="6660" max="6660" width="4.109375" style="323" customWidth="1"/>
    <col min="6661" max="6661" width="19.6640625" style="323" customWidth="1"/>
    <col min="6662" max="6662" width="37" style="323" customWidth="1"/>
    <col min="6663" max="6663" width="12.5546875" style="323" customWidth="1"/>
    <col min="6664" max="6664" width="5.33203125" style="323" customWidth="1"/>
    <col min="6665" max="6665" width="10.5546875" style="323" customWidth="1"/>
    <col min="6666" max="6666" width="8.88671875" style="323"/>
    <col min="6667" max="6667" width="9" style="323" customWidth="1"/>
    <col min="6668" max="6668" width="6.44140625" style="323" customWidth="1"/>
    <col min="6669" max="6914" width="8.88671875" style="323"/>
    <col min="6915" max="6915" width="8.5546875" style="323" customWidth="1"/>
    <col min="6916" max="6916" width="4.109375" style="323" customWidth="1"/>
    <col min="6917" max="6917" width="19.6640625" style="323" customWidth="1"/>
    <col min="6918" max="6918" width="37" style="323" customWidth="1"/>
    <col min="6919" max="6919" width="12.5546875" style="323" customWidth="1"/>
    <col min="6920" max="6920" width="5.33203125" style="323" customWidth="1"/>
    <col min="6921" max="6921" width="10.5546875" style="323" customWidth="1"/>
    <col min="6922" max="6922" width="8.88671875" style="323"/>
    <col min="6923" max="6923" width="9" style="323" customWidth="1"/>
    <col min="6924" max="6924" width="6.44140625" style="323" customWidth="1"/>
    <col min="6925" max="7170" width="8.88671875" style="323"/>
    <col min="7171" max="7171" width="8.5546875" style="323" customWidth="1"/>
    <col min="7172" max="7172" width="4.109375" style="323" customWidth="1"/>
    <col min="7173" max="7173" width="19.6640625" style="323" customWidth="1"/>
    <col min="7174" max="7174" width="37" style="323" customWidth="1"/>
    <col min="7175" max="7175" width="12.5546875" style="323" customWidth="1"/>
    <col min="7176" max="7176" width="5.33203125" style="323" customWidth="1"/>
    <col min="7177" max="7177" width="10.5546875" style="323" customWidth="1"/>
    <col min="7178" max="7178" width="8.88671875" style="323"/>
    <col min="7179" max="7179" width="9" style="323" customWidth="1"/>
    <col min="7180" max="7180" width="6.44140625" style="323" customWidth="1"/>
    <col min="7181" max="7426" width="8.88671875" style="323"/>
    <col min="7427" max="7427" width="8.5546875" style="323" customWidth="1"/>
    <col min="7428" max="7428" width="4.109375" style="323" customWidth="1"/>
    <col min="7429" max="7429" width="19.6640625" style="323" customWidth="1"/>
    <col min="7430" max="7430" width="37" style="323" customWidth="1"/>
    <col min="7431" max="7431" width="12.5546875" style="323" customWidth="1"/>
    <col min="7432" max="7432" width="5.33203125" style="323" customWidth="1"/>
    <col min="7433" max="7433" width="10.5546875" style="323" customWidth="1"/>
    <col min="7434" max="7434" width="8.88671875" style="323"/>
    <col min="7435" max="7435" width="9" style="323" customWidth="1"/>
    <col min="7436" max="7436" width="6.44140625" style="323" customWidth="1"/>
    <col min="7437" max="7682" width="8.88671875" style="323"/>
    <col min="7683" max="7683" width="8.5546875" style="323" customWidth="1"/>
    <col min="7684" max="7684" width="4.109375" style="323" customWidth="1"/>
    <col min="7685" max="7685" width="19.6640625" style="323" customWidth="1"/>
    <col min="7686" max="7686" width="37" style="323" customWidth="1"/>
    <col min="7687" max="7687" width="12.5546875" style="323" customWidth="1"/>
    <col min="7688" max="7688" width="5.33203125" style="323" customWidth="1"/>
    <col min="7689" max="7689" width="10.5546875" style="323" customWidth="1"/>
    <col min="7690" max="7690" width="8.88671875" style="323"/>
    <col min="7691" max="7691" width="9" style="323" customWidth="1"/>
    <col min="7692" max="7692" width="6.44140625" style="323" customWidth="1"/>
    <col min="7693" max="7938" width="8.88671875" style="323"/>
    <col min="7939" max="7939" width="8.5546875" style="323" customWidth="1"/>
    <col min="7940" max="7940" width="4.109375" style="323" customWidth="1"/>
    <col min="7941" max="7941" width="19.6640625" style="323" customWidth="1"/>
    <col min="7942" max="7942" width="37" style="323" customWidth="1"/>
    <col min="7943" max="7943" width="12.5546875" style="323" customWidth="1"/>
    <col min="7944" max="7944" width="5.33203125" style="323" customWidth="1"/>
    <col min="7945" max="7945" width="10.5546875" style="323" customWidth="1"/>
    <col min="7946" max="7946" width="8.88671875" style="323"/>
    <col min="7947" max="7947" width="9" style="323" customWidth="1"/>
    <col min="7948" max="7948" width="6.44140625" style="323" customWidth="1"/>
    <col min="7949" max="8194" width="8.88671875" style="323"/>
    <col min="8195" max="8195" width="8.5546875" style="323" customWidth="1"/>
    <col min="8196" max="8196" width="4.109375" style="323" customWidth="1"/>
    <col min="8197" max="8197" width="19.6640625" style="323" customWidth="1"/>
    <col min="8198" max="8198" width="37" style="323" customWidth="1"/>
    <col min="8199" max="8199" width="12.5546875" style="323" customWidth="1"/>
    <col min="8200" max="8200" width="5.33203125" style="323" customWidth="1"/>
    <col min="8201" max="8201" width="10.5546875" style="323" customWidth="1"/>
    <col min="8202" max="8202" width="8.88671875" style="323"/>
    <col min="8203" max="8203" width="9" style="323" customWidth="1"/>
    <col min="8204" max="8204" width="6.44140625" style="323" customWidth="1"/>
    <col min="8205" max="8450" width="8.88671875" style="323"/>
    <col min="8451" max="8451" width="8.5546875" style="323" customWidth="1"/>
    <col min="8452" max="8452" width="4.109375" style="323" customWidth="1"/>
    <col min="8453" max="8453" width="19.6640625" style="323" customWidth="1"/>
    <col min="8454" max="8454" width="37" style="323" customWidth="1"/>
    <col min="8455" max="8455" width="12.5546875" style="323" customWidth="1"/>
    <col min="8456" max="8456" width="5.33203125" style="323" customWidth="1"/>
    <col min="8457" max="8457" width="10.5546875" style="323" customWidth="1"/>
    <col min="8458" max="8458" width="8.88671875" style="323"/>
    <col min="8459" max="8459" width="9" style="323" customWidth="1"/>
    <col min="8460" max="8460" width="6.44140625" style="323" customWidth="1"/>
    <col min="8461" max="8706" width="8.88671875" style="323"/>
    <col min="8707" max="8707" width="8.5546875" style="323" customWidth="1"/>
    <col min="8708" max="8708" width="4.109375" style="323" customWidth="1"/>
    <col min="8709" max="8709" width="19.6640625" style="323" customWidth="1"/>
    <col min="8710" max="8710" width="37" style="323" customWidth="1"/>
    <col min="8711" max="8711" width="12.5546875" style="323" customWidth="1"/>
    <col min="8712" max="8712" width="5.33203125" style="323" customWidth="1"/>
    <col min="8713" max="8713" width="10.5546875" style="323" customWidth="1"/>
    <col min="8714" max="8714" width="8.88671875" style="323"/>
    <col min="8715" max="8715" width="9" style="323" customWidth="1"/>
    <col min="8716" max="8716" width="6.44140625" style="323" customWidth="1"/>
    <col min="8717" max="8962" width="8.88671875" style="323"/>
    <col min="8963" max="8963" width="8.5546875" style="323" customWidth="1"/>
    <col min="8964" max="8964" width="4.109375" style="323" customWidth="1"/>
    <col min="8965" max="8965" width="19.6640625" style="323" customWidth="1"/>
    <col min="8966" max="8966" width="37" style="323" customWidth="1"/>
    <col min="8967" max="8967" width="12.5546875" style="323" customWidth="1"/>
    <col min="8968" max="8968" width="5.33203125" style="323" customWidth="1"/>
    <col min="8969" max="8969" width="10.5546875" style="323" customWidth="1"/>
    <col min="8970" max="8970" width="8.88671875" style="323"/>
    <col min="8971" max="8971" width="9" style="323" customWidth="1"/>
    <col min="8972" max="8972" width="6.44140625" style="323" customWidth="1"/>
    <col min="8973" max="9218" width="8.88671875" style="323"/>
    <col min="9219" max="9219" width="8.5546875" style="323" customWidth="1"/>
    <col min="9220" max="9220" width="4.109375" style="323" customWidth="1"/>
    <col min="9221" max="9221" width="19.6640625" style="323" customWidth="1"/>
    <col min="9222" max="9222" width="37" style="323" customWidth="1"/>
    <col min="9223" max="9223" width="12.5546875" style="323" customWidth="1"/>
    <col min="9224" max="9224" width="5.33203125" style="323" customWidth="1"/>
    <col min="9225" max="9225" width="10.5546875" style="323" customWidth="1"/>
    <col min="9226" max="9226" width="8.88671875" style="323"/>
    <col min="9227" max="9227" width="9" style="323" customWidth="1"/>
    <col min="9228" max="9228" width="6.44140625" style="323" customWidth="1"/>
    <col min="9229" max="9474" width="8.88671875" style="323"/>
    <col min="9475" max="9475" width="8.5546875" style="323" customWidth="1"/>
    <col min="9476" max="9476" width="4.109375" style="323" customWidth="1"/>
    <col min="9477" max="9477" width="19.6640625" style="323" customWidth="1"/>
    <col min="9478" max="9478" width="37" style="323" customWidth="1"/>
    <col min="9479" max="9479" width="12.5546875" style="323" customWidth="1"/>
    <col min="9480" max="9480" width="5.33203125" style="323" customWidth="1"/>
    <col min="9481" max="9481" width="10.5546875" style="323" customWidth="1"/>
    <col min="9482" max="9482" width="8.88671875" style="323"/>
    <col min="9483" max="9483" width="9" style="323" customWidth="1"/>
    <col min="9484" max="9484" width="6.44140625" style="323" customWidth="1"/>
    <col min="9485" max="9730" width="8.88671875" style="323"/>
    <col min="9731" max="9731" width="8.5546875" style="323" customWidth="1"/>
    <col min="9732" max="9732" width="4.109375" style="323" customWidth="1"/>
    <col min="9733" max="9733" width="19.6640625" style="323" customWidth="1"/>
    <col min="9734" max="9734" width="37" style="323" customWidth="1"/>
    <col min="9735" max="9735" width="12.5546875" style="323" customWidth="1"/>
    <col min="9736" max="9736" width="5.33203125" style="323" customWidth="1"/>
    <col min="9737" max="9737" width="10.5546875" style="323" customWidth="1"/>
    <col min="9738" max="9738" width="8.88671875" style="323"/>
    <col min="9739" max="9739" width="9" style="323" customWidth="1"/>
    <col min="9740" max="9740" width="6.44140625" style="323" customWidth="1"/>
    <col min="9741" max="9986" width="8.88671875" style="323"/>
    <col min="9987" max="9987" width="8.5546875" style="323" customWidth="1"/>
    <col min="9988" max="9988" width="4.109375" style="323" customWidth="1"/>
    <col min="9989" max="9989" width="19.6640625" style="323" customWidth="1"/>
    <col min="9990" max="9990" width="37" style="323" customWidth="1"/>
    <col min="9991" max="9991" width="12.5546875" style="323" customWidth="1"/>
    <col min="9992" max="9992" width="5.33203125" style="323" customWidth="1"/>
    <col min="9993" max="9993" width="10.5546875" style="323" customWidth="1"/>
    <col min="9994" max="9994" width="8.88671875" style="323"/>
    <col min="9995" max="9995" width="9" style="323" customWidth="1"/>
    <col min="9996" max="9996" width="6.44140625" style="323" customWidth="1"/>
    <col min="9997" max="10242" width="8.88671875" style="323"/>
    <col min="10243" max="10243" width="8.5546875" style="323" customWidth="1"/>
    <col min="10244" max="10244" width="4.109375" style="323" customWidth="1"/>
    <col min="10245" max="10245" width="19.6640625" style="323" customWidth="1"/>
    <col min="10246" max="10246" width="37" style="323" customWidth="1"/>
    <col min="10247" max="10247" width="12.5546875" style="323" customWidth="1"/>
    <col min="10248" max="10248" width="5.33203125" style="323" customWidth="1"/>
    <col min="10249" max="10249" width="10.5546875" style="323" customWidth="1"/>
    <col min="10250" max="10250" width="8.88671875" style="323"/>
    <col min="10251" max="10251" width="9" style="323" customWidth="1"/>
    <col min="10252" max="10252" width="6.44140625" style="323" customWidth="1"/>
    <col min="10253" max="10498" width="8.88671875" style="323"/>
    <col min="10499" max="10499" width="8.5546875" style="323" customWidth="1"/>
    <col min="10500" max="10500" width="4.109375" style="323" customWidth="1"/>
    <col min="10501" max="10501" width="19.6640625" style="323" customWidth="1"/>
    <col min="10502" max="10502" width="37" style="323" customWidth="1"/>
    <col min="10503" max="10503" width="12.5546875" style="323" customWidth="1"/>
    <col min="10504" max="10504" width="5.33203125" style="323" customWidth="1"/>
    <col min="10505" max="10505" width="10.5546875" style="323" customWidth="1"/>
    <col min="10506" max="10506" width="8.88671875" style="323"/>
    <col min="10507" max="10507" width="9" style="323" customWidth="1"/>
    <col min="10508" max="10508" width="6.44140625" style="323" customWidth="1"/>
    <col min="10509" max="10754" width="8.88671875" style="323"/>
    <col min="10755" max="10755" width="8.5546875" style="323" customWidth="1"/>
    <col min="10756" max="10756" width="4.109375" style="323" customWidth="1"/>
    <col min="10757" max="10757" width="19.6640625" style="323" customWidth="1"/>
    <col min="10758" max="10758" width="37" style="323" customWidth="1"/>
    <col min="10759" max="10759" width="12.5546875" style="323" customWidth="1"/>
    <col min="10760" max="10760" width="5.33203125" style="323" customWidth="1"/>
    <col min="10761" max="10761" width="10.5546875" style="323" customWidth="1"/>
    <col min="10762" max="10762" width="8.88671875" style="323"/>
    <col min="10763" max="10763" width="9" style="323" customWidth="1"/>
    <col min="10764" max="10764" width="6.44140625" style="323" customWidth="1"/>
    <col min="10765" max="11010" width="8.88671875" style="323"/>
    <col min="11011" max="11011" width="8.5546875" style="323" customWidth="1"/>
    <col min="11012" max="11012" width="4.109375" style="323" customWidth="1"/>
    <col min="11013" max="11013" width="19.6640625" style="323" customWidth="1"/>
    <col min="11014" max="11014" width="37" style="323" customWidth="1"/>
    <col min="11015" max="11015" width="12.5546875" style="323" customWidth="1"/>
    <col min="11016" max="11016" width="5.33203125" style="323" customWidth="1"/>
    <col min="11017" max="11017" width="10.5546875" style="323" customWidth="1"/>
    <col min="11018" max="11018" width="8.88671875" style="323"/>
    <col min="11019" max="11019" width="9" style="323" customWidth="1"/>
    <col min="11020" max="11020" width="6.44140625" style="323" customWidth="1"/>
    <col min="11021" max="11266" width="8.88671875" style="323"/>
    <col min="11267" max="11267" width="8.5546875" style="323" customWidth="1"/>
    <col min="11268" max="11268" width="4.109375" style="323" customWidth="1"/>
    <col min="11269" max="11269" width="19.6640625" style="323" customWidth="1"/>
    <col min="11270" max="11270" width="37" style="323" customWidth="1"/>
    <col min="11271" max="11271" width="12.5546875" style="323" customWidth="1"/>
    <col min="11272" max="11272" width="5.33203125" style="323" customWidth="1"/>
    <col min="11273" max="11273" width="10.5546875" style="323" customWidth="1"/>
    <col min="11274" max="11274" width="8.88671875" style="323"/>
    <col min="11275" max="11275" width="9" style="323" customWidth="1"/>
    <col min="11276" max="11276" width="6.44140625" style="323" customWidth="1"/>
    <col min="11277" max="11522" width="8.88671875" style="323"/>
    <col min="11523" max="11523" width="8.5546875" style="323" customWidth="1"/>
    <col min="11524" max="11524" width="4.109375" style="323" customWidth="1"/>
    <col min="11525" max="11525" width="19.6640625" style="323" customWidth="1"/>
    <col min="11526" max="11526" width="37" style="323" customWidth="1"/>
    <col min="11527" max="11527" width="12.5546875" style="323" customWidth="1"/>
    <col min="11528" max="11528" width="5.33203125" style="323" customWidth="1"/>
    <col min="11529" max="11529" width="10.5546875" style="323" customWidth="1"/>
    <col min="11530" max="11530" width="8.88671875" style="323"/>
    <col min="11531" max="11531" width="9" style="323" customWidth="1"/>
    <col min="11532" max="11532" width="6.44140625" style="323" customWidth="1"/>
    <col min="11533" max="11778" width="8.88671875" style="323"/>
    <col min="11779" max="11779" width="8.5546875" style="323" customWidth="1"/>
    <col min="11780" max="11780" width="4.109375" style="323" customWidth="1"/>
    <col min="11781" max="11781" width="19.6640625" style="323" customWidth="1"/>
    <col min="11782" max="11782" width="37" style="323" customWidth="1"/>
    <col min="11783" max="11783" width="12.5546875" style="323" customWidth="1"/>
    <col min="11784" max="11784" width="5.33203125" style="323" customWidth="1"/>
    <col min="11785" max="11785" width="10.5546875" style="323" customWidth="1"/>
    <col min="11786" max="11786" width="8.88671875" style="323"/>
    <col min="11787" max="11787" width="9" style="323" customWidth="1"/>
    <col min="11788" max="11788" width="6.44140625" style="323" customWidth="1"/>
    <col min="11789" max="12034" width="8.88671875" style="323"/>
    <col min="12035" max="12035" width="8.5546875" style="323" customWidth="1"/>
    <col min="12036" max="12036" width="4.109375" style="323" customWidth="1"/>
    <col min="12037" max="12037" width="19.6640625" style="323" customWidth="1"/>
    <col min="12038" max="12038" width="37" style="323" customWidth="1"/>
    <col min="12039" max="12039" width="12.5546875" style="323" customWidth="1"/>
    <col min="12040" max="12040" width="5.33203125" style="323" customWidth="1"/>
    <col min="12041" max="12041" width="10.5546875" style="323" customWidth="1"/>
    <col min="12042" max="12042" width="8.88671875" style="323"/>
    <col min="12043" max="12043" width="9" style="323" customWidth="1"/>
    <col min="12044" max="12044" width="6.44140625" style="323" customWidth="1"/>
    <col min="12045" max="12290" width="8.88671875" style="323"/>
    <col min="12291" max="12291" width="8.5546875" style="323" customWidth="1"/>
    <col min="12292" max="12292" width="4.109375" style="323" customWidth="1"/>
    <col min="12293" max="12293" width="19.6640625" style="323" customWidth="1"/>
    <col min="12294" max="12294" width="37" style="323" customWidth="1"/>
    <col min="12295" max="12295" width="12.5546875" style="323" customWidth="1"/>
    <col min="12296" max="12296" width="5.33203125" style="323" customWidth="1"/>
    <col min="12297" max="12297" width="10.5546875" style="323" customWidth="1"/>
    <col min="12298" max="12298" width="8.88671875" style="323"/>
    <col min="12299" max="12299" width="9" style="323" customWidth="1"/>
    <col min="12300" max="12300" width="6.44140625" style="323" customWidth="1"/>
    <col min="12301" max="12546" width="8.88671875" style="323"/>
    <col min="12547" max="12547" width="8.5546875" style="323" customWidth="1"/>
    <col min="12548" max="12548" width="4.109375" style="323" customWidth="1"/>
    <col min="12549" max="12549" width="19.6640625" style="323" customWidth="1"/>
    <col min="12550" max="12550" width="37" style="323" customWidth="1"/>
    <col min="12551" max="12551" width="12.5546875" style="323" customWidth="1"/>
    <col min="12552" max="12552" width="5.33203125" style="323" customWidth="1"/>
    <col min="12553" max="12553" width="10.5546875" style="323" customWidth="1"/>
    <col min="12554" max="12554" width="8.88671875" style="323"/>
    <col min="12555" max="12555" width="9" style="323" customWidth="1"/>
    <col min="12556" max="12556" width="6.44140625" style="323" customWidth="1"/>
    <col min="12557" max="12802" width="8.88671875" style="323"/>
    <col min="12803" max="12803" width="8.5546875" style="323" customWidth="1"/>
    <col min="12804" max="12804" width="4.109375" style="323" customWidth="1"/>
    <col min="12805" max="12805" width="19.6640625" style="323" customWidth="1"/>
    <col min="12806" max="12806" width="37" style="323" customWidth="1"/>
    <col min="12807" max="12807" width="12.5546875" style="323" customWidth="1"/>
    <col min="12808" max="12808" width="5.33203125" style="323" customWidth="1"/>
    <col min="12809" max="12809" width="10.5546875" style="323" customWidth="1"/>
    <col min="12810" max="12810" width="8.88671875" style="323"/>
    <col min="12811" max="12811" width="9" style="323" customWidth="1"/>
    <col min="12812" max="12812" width="6.44140625" style="323" customWidth="1"/>
    <col min="12813" max="13058" width="8.88671875" style="323"/>
    <col min="13059" max="13059" width="8.5546875" style="323" customWidth="1"/>
    <col min="13060" max="13060" width="4.109375" style="323" customWidth="1"/>
    <col min="13061" max="13061" width="19.6640625" style="323" customWidth="1"/>
    <col min="13062" max="13062" width="37" style="323" customWidth="1"/>
    <col min="13063" max="13063" width="12.5546875" style="323" customWidth="1"/>
    <col min="13064" max="13064" width="5.33203125" style="323" customWidth="1"/>
    <col min="13065" max="13065" width="10.5546875" style="323" customWidth="1"/>
    <col min="13066" max="13066" width="8.88671875" style="323"/>
    <col min="13067" max="13067" width="9" style="323" customWidth="1"/>
    <col min="13068" max="13068" width="6.44140625" style="323" customWidth="1"/>
    <col min="13069" max="13314" width="8.88671875" style="323"/>
    <col min="13315" max="13315" width="8.5546875" style="323" customWidth="1"/>
    <col min="13316" max="13316" width="4.109375" style="323" customWidth="1"/>
    <col min="13317" max="13317" width="19.6640625" style="323" customWidth="1"/>
    <col min="13318" max="13318" width="37" style="323" customWidth="1"/>
    <col min="13319" max="13319" width="12.5546875" style="323" customWidth="1"/>
    <col min="13320" max="13320" width="5.33203125" style="323" customWidth="1"/>
    <col min="13321" max="13321" width="10.5546875" style="323" customWidth="1"/>
    <col min="13322" max="13322" width="8.88671875" style="323"/>
    <col min="13323" max="13323" width="9" style="323" customWidth="1"/>
    <col min="13324" max="13324" width="6.44140625" style="323" customWidth="1"/>
    <col min="13325" max="13570" width="8.88671875" style="323"/>
    <col min="13571" max="13571" width="8.5546875" style="323" customWidth="1"/>
    <col min="13572" max="13572" width="4.109375" style="323" customWidth="1"/>
    <col min="13573" max="13573" width="19.6640625" style="323" customWidth="1"/>
    <col min="13574" max="13574" width="37" style="323" customWidth="1"/>
    <col min="13575" max="13575" width="12.5546875" style="323" customWidth="1"/>
    <col min="13576" max="13576" width="5.33203125" style="323" customWidth="1"/>
    <col min="13577" max="13577" width="10.5546875" style="323" customWidth="1"/>
    <col min="13578" max="13578" width="8.88671875" style="323"/>
    <col min="13579" max="13579" width="9" style="323" customWidth="1"/>
    <col min="13580" max="13580" width="6.44140625" style="323" customWidth="1"/>
    <col min="13581" max="13826" width="8.88671875" style="323"/>
    <col min="13827" max="13827" width="8.5546875" style="323" customWidth="1"/>
    <col min="13828" max="13828" width="4.109375" style="323" customWidth="1"/>
    <col min="13829" max="13829" width="19.6640625" style="323" customWidth="1"/>
    <col min="13830" max="13830" width="37" style="323" customWidth="1"/>
    <col min="13831" max="13831" width="12.5546875" style="323" customWidth="1"/>
    <col min="13832" max="13832" width="5.33203125" style="323" customWidth="1"/>
    <col min="13833" max="13833" width="10.5546875" style="323" customWidth="1"/>
    <col min="13834" max="13834" width="8.88671875" style="323"/>
    <col min="13835" max="13835" width="9" style="323" customWidth="1"/>
    <col min="13836" max="13836" width="6.44140625" style="323" customWidth="1"/>
    <col min="13837" max="14082" width="8.88671875" style="323"/>
    <col min="14083" max="14083" width="8.5546875" style="323" customWidth="1"/>
    <col min="14084" max="14084" width="4.109375" style="323" customWidth="1"/>
    <col min="14085" max="14085" width="19.6640625" style="323" customWidth="1"/>
    <col min="14086" max="14086" width="37" style="323" customWidth="1"/>
    <col min="14087" max="14087" width="12.5546875" style="323" customWidth="1"/>
    <col min="14088" max="14088" width="5.33203125" style="323" customWidth="1"/>
    <col min="14089" max="14089" width="10.5546875" style="323" customWidth="1"/>
    <col min="14090" max="14090" width="8.88671875" style="323"/>
    <col min="14091" max="14091" width="9" style="323" customWidth="1"/>
    <col min="14092" max="14092" width="6.44140625" style="323" customWidth="1"/>
    <col min="14093" max="14338" width="8.88671875" style="323"/>
    <col min="14339" max="14339" width="8.5546875" style="323" customWidth="1"/>
    <col min="14340" max="14340" width="4.109375" style="323" customWidth="1"/>
    <col min="14341" max="14341" width="19.6640625" style="323" customWidth="1"/>
    <col min="14342" max="14342" width="37" style="323" customWidth="1"/>
    <col min="14343" max="14343" width="12.5546875" style="323" customWidth="1"/>
    <col min="14344" max="14344" width="5.33203125" style="323" customWidth="1"/>
    <col min="14345" max="14345" width="10.5546875" style="323" customWidth="1"/>
    <col min="14346" max="14346" width="8.88671875" style="323"/>
    <col min="14347" max="14347" width="9" style="323" customWidth="1"/>
    <col min="14348" max="14348" width="6.44140625" style="323" customWidth="1"/>
    <col min="14349" max="14594" width="8.88671875" style="323"/>
    <col min="14595" max="14595" width="8.5546875" style="323" customWidth="1"/>
    <col min="14596" max="14596" width="4.109375" style="323" customWidth="1"/>
    <col min="14597" max="14597" width="19.6640625" style="323" customWidth="1"/>
    <col min="14598" max="14598" width="37" style="323" customWidth="1"/>
    <col min="14599" max="14599" width="12.5546875" style="323" customWidth="1"/>
    <col min="14600" max="14600" width="5.33203125" style="323" customWidth="1"/>
    <col min="14601" max="14601" width="10.5546875" style="323" customWidth="1"/>
    <col min="14602" max="14602" width="8.88671875" style="323"/>
    <col min="14603" max="14603" width="9" style="323" customWidth="1"/>
    <col min="14604" max="14604" width="6.44140625" style="323" customWidth="1"/>
    <col min="14605" max="14850" width="8.88671875" style="323"/>
    <col min="14851" max="14851" width="8.5546875" style="323" customWidth="1"/>
    <col min="14852" max="14852" width="4.109375" style="323" customWidth="1"/>
    <col min="14853" max="14853" width="19.6640625" style="323" customWidth="1"/>
    <col min="14854" max="14854" width="37" style="323" customWidth="1"/>
    <col min="14855" max="14855" width="12.5546875" style="323" customWidth="1"/>
    <col min="14856" max="14856" width="5.33203125" style="323" customWidth="1"/>
    <col min="14857" max="14857" width="10.5546875" style="323" customWidth="1"/>
    <col min="14858" max="14858" width="8.88671875" style="323"/>
    <col min="14859" max="14859" width="9" style="323" customWidth="1"/>
    <col min="14860" max="14860" width="6.44140625" style="323" customWidth="1"/>
    <col min="14861" max="15106" width="8.88671875" style="323"/>
    <col min="15107" max="15107" width="8.5546875" style="323" customWidth="1"/>
    <col min="15108" max="15108" width="4.109375" style="323" customWidth="1"/>
    <col min="15109" max="15109" width="19.6640625" style="323" customWidth="1"/>
    <col min="15110" max="15110" width="37" style="323" customWidth="1"/>
    <col min="15111" max="15111" width="12.5546875" style="323" customWidth="1"/>
    <col min="15112" max="15112" width="5.33203125" style="323" customWidth="1"/>
    <col min="15113" max="15113" width="10.5546875" style="323" customWidth="1"/>
    <col min="15114" max="15114" width="8.88671875" style="323"/>
    <col min="15115" max="15115" width="9" style="323" customWidth="1"/>
    <col min="15116" max="15116" width="6.44140625" style="323" customWidth="1"/>
    <col min="15117" max="15362" width="8.88671875" style="323"/>
    <col min="15363" max="15363" width="8.5546875" style="323" customWidth="1"/>
    <col min="15364" max="15364" width="4.109375" style="323" customWidth="1"/>
    <col min="15365" max="15365" width="19.6640625" style="323" customWidth="1"/>
    <col min="15366" max="15366" width="37" style="323" customWidth="1"/>
    <col min="15367" max="15367" width="12.5546875" style="323" customWidth="1"/>
    <col min="15368" max="15368" width="5.33203125" style="323" customWidth="1"/>
    <col min="15369" max="15369" width="10.5546875" style="323" customWidth="1"/>
    <col min="15370" max="15370" width="8.88671875" style="323"/>
    <col min="15371" max="15371" width="9" style="323" customWidth="1"/>
    <col min="15372" max="15372" width="6.44140625" style="323" customWidth="1"/>
    <col min="15373" max="15618" width="8.88671875" style="323"/>
    <col min="15619" max="15619" width="8.5546875" style="323" customWidth="1"/>
    <col min="15620" max="15620" width="4.109375" style="323" customWidth="1"/>
    <col min="15621" max="15621" width="19.6640625" style="323" customWidth="1"/>
    <col min="15622" max="15622" width="37" style="323" customWidth="1"/>
    <col min="15623" max="15623" width="12.5546875" style="323" customWidth="1"/>
    <col min="15624" max="15624" width="5.33203125" style="323" customWidth="1"/>
    <col min="15625" max="15625" width="10.5546875" style="323" customWidth="1"/>
    <col min="15626" max="15626" width="8.88671875" style="323"/>
    <col min="15627" max="15627" width="9" style="323" customWidth="1"/>
    <col min="15628" max="15628" width="6.44140625" style="323" customWidth="1"/>
    <col min="15629" max="15874" width="8.88671875" style="323"/>
    <col min="15875" max="15875" width="8.5546875" style="323" customWidth="1"/>
    <col min="15876" max="15876" width="4.109375" style="323" customWidth="1"/>
    <col min="15877" max="15877" width="19.6640625" style="323" customWidth="1"/>
    <col min="15878" max="15878" width="37" style="323" customWidth="1"/>
    <col min="15879" max="15879" width="12.5546875" style="323" customWidth="1"/>
    <col min="15880" max="15880" width="5.33203125" style="323" customWidth="1"/>
    <col min="15881" max="15881" width="10.5546875" style="323" customWidth="1"/>
    <col min="15882" max="15882" width="8.88671875" style="323"/>
    <col min="15883" max="15883" width="9" style="323" customWidth="1"/>
    <col min="15884" max="15884" width="6.44140625" style="323" customWidth="1"/>
    <col min="15885" max="16130" width="8.88671875" style="323"/>
    <col min="16131" max="16131" width="8.5546875" style="323" customWidth="1"/>
    <col min="16132" max="16132" width="4.109375" style="323" customWidth="1"/>
    <col min="16133" max="16133" width="19.6640625" style="323" customWidth="1"/>
    <col min="16134" max="16134" width="37" style="323" customWidth="1"/>
    <col min="16135" max="16135" width="12.5546875" style="323" customWidth="1"/>
    <col min="16136" max="16136" width="5.33203125" style="323" customWidth="1"/>
    <col min="16137" max="16137" width="10.5546875" style="323" customWidth="1"/>
    <col min="16138" max="16138" width="8.88671875" style="323"/>
    <col min="16139" max="16139" width="9" style="323" customWidth="1"/>
    <col min="16140" max="16140" width="6.44140625" style="323" customWidth="1"/>
    <col min="16141" max="16384" width="8.88671875" style="323"/>
  </cols>
  <sheetData>
    <row r="1" spans="1:14" s="708" customFormat="1" ht="30" customHeight="1" thickBot="1">
      <c r="A1" s="703" t="s">
        <v>610</v>
      </c>
      <c r="B1" s="704"/>
      <c r="C1" s="704"/>
      <c r="D1" s="703" t="str">
        <f>기술투자!B7</f>
        <v>ㅇㅇ엔지니어링㈜</v>
      </c>
      <c r="E1" s="703"/>
      <c r="F1" s="703"/>
      <c r="G1" s="705"/>
      <c r="H1" s="740" t="s">
        <v>611</v>
      </c>
      <c r="I1" s="741">
        <v>39814</v>
      </c>
      <c r="J1" s="742"/>
      <c r="K1" s="282"/>
      <c r="L1" s="282"/>
      <c r="M1" s="284"/>
      <c r="N1" s="284"/>
    </row>
    <row r="2" spans="1:14" s="286" customFormat="1" ht="35.1" customHeight="1">
      <c r="A2" s="709" t="s">
        <v>107</v>
      </c>
      <c r="B2" s="710" t="s">
        <v>108</v>
      </c>
      <c r="C2" s="710" t="s">
        <v>459</v>
      </c>
      <c r="D2" s="710" t="s">
        <v>109</v>
      </c>
      <c r="E2" s="711" t="s">
        <v>583</v>
      </c>
      <c r="F2" s="712" t="s">
        <v>584</v>
      </c>
      <c r="G2" s="712" t="s">
        <v>585</v>
      </c>
      <c r="H2" s="712" t="s">
        <v>586</v>
      </c>
      <c r="I2" s="710" t="s">
        <v>110</v>
      </c>
      <c r="J2" s="710" t="s">
        <v>111</v>
      </c>
      <c r="K2" s="710" t="s">
        <v>587</v>
      </c>
      <c r="L2" s="713" t="s">
        <v>95</v>
      </c>
    </row>
    <row r="3" spans="1:14" s="723" customFormat="1" ht="35.1" customHeight="1">
      <c r="A3" s="714" t="s">
        <v>588</v>
      </c>
      <c r="B3" s="715">
        <v>1</v>
      </c>
      <c r="C3" s="715"/>
      <c r="D3" s="715" t="s">
        <v>590</v>
      </c>
      <c r="E3" s="715"/>
      <c r="F3" s="716" t="s">
        <v>591</v>
      </c>
      <c r="G3" s="743">
        <v>4</v>
      </c>
      <c r="H3" s="718">
        <v>39570</v>
      </c>
      <c r="I3" s="719">
        <f>$I$1-H3</f>
        <v>244</v>
      </c>
      <c r="J3" s="720" t="s">
        <v>592</v>
      </c>
      <c r="K3" s="721">
        <v>1</v>
      </c>
      <c r="L3" s="722">
        <f>1/G3*K3</f>
        <v>0.25</v>
      </c>
    </row>
    <row r="4" spans="1:14" ht="35.1" customHeight="1">
      <c r="A4" s="714" t="s">
        <v>588</v>
      </c>
      <c r="B4" s="715">
        <v>2</v>
      </c>
      <c r="C4" s="715"/>
      <c r="D4" s="715" t="s">
        <v>590</v>
      </c>
      <c r="E4" s="715"/>
      <c r="F4" s="716" t="s">
        <v>591</v>
      </c>
      <c r="G4" s="743">
        <v>4</v>
      </c>
      <c r="H4" s="718">
        <v>39571</v>
      </c>
      <c r="I4" s="719">
        <f>$I$1-H4</f>
        <v>243</v>
      </c>
      <c r="J4" s="720" t="s">
        <v>592</v>
      </c>
      <c r="K4" s="721">
        <v>0.6</v>
      </c>
      <c r="L4" s="722">
        <f>1/G4*K4</f>
        <v>0.15</v>
      </c>
    </row>
    <row r="5" spans="1:14" s="726" customFormat="1" ht="35.1" customHeight="1">
      <c r="A5" s="1248" t="s">
        <v>593</v>
      </c>
      <c r="B5" s="1249"/>
      <c r="C5" s="1249"/>
      <c r="D5" s="1249"/>
      <c r="E5" s="1249"/>
      <c r="F5" s="1249"/>
      <c r="G5" s="1249"/>
      <c r="H5" s="1249"/>
      <c r="I5" s="1249"/>
      <c r="J5" s="1250"/>
      <c r="K5" s="724"/>
      <c r="L5" s="744">
        <f>SUM(L3:L4)</f>
        <v>0.4</v>
      </c>
    </row>
    <row r="6" spans="1:14" s="723" customFormat="1" ht="35.1" customHeight="1">
      <c r="A6" s="714" t="s">
        <v>594</v>
      </c>
      <c r="B6" s="715">
        <v>1</v>
      </c>
      <c r="C6" s="715"/>
      <c r="D6" s="715" t="s">
        <v>595</v>
      </c>
      <c r="E6" s="715"/>
      <c r="F6" s="716" t="s">
        <v>591</v>
      </c>
      <c r="G6" s="717">
        <v>2</v>
      </c>
      <c r="H6" s="718">
        <v>34823</v>
      </c>
      <c r="I6" s="719">
        <f>$I$1-H6</f>
        <v>4991</v>
      </c>
      <c r="J6" s="720" t="s">
        <v>592</v>
      </c>
      <c r="K6" s="721">
        <v>1</v>
      </c>
      <c r="L6" s="722">
        <f t="shared" ref="L6:L7" si="0">1/G6*K6</f>
        <v>0.5</v>
      </c>
    </row>
    <row r="7" spans="1:14" s="723" customFormat="1" ht="35.1" customHeight="1">
      <c r="A7" s="714" t="s">
        <v>594</v>
      </c>
      <c r="B7" s="715">
        <v>2</v>
      </c>
      <c r="C7" s="715"/>
      <c r="D7" s="715" t="s">
        <v>595</v>
      </c>
      <c r="E7" s="715"/>
      <c r="F7" s="716" t="s">
        <v>591</v>
      </c>
      <c r="G7" s="717">
        <v>2</v>
      </c>
      <c r="H7" s="718">
        <v>35189</v>
      </c>
      <c r="I7" s="719">
        <f>$I$1-H7</f>
        <v>4625</v>
      </c>
      <c r="J7" s="720" t="s">
        <v>592</v>
      </c>
      <c r="K7" s="721">
        <v>1</v>
      </c>
      <c r="L7" s="722">
        <f t="shared" si="0"/>
        <v>0.5</v>
      </c>
    </row>
    <row r="8" spans="1:14" s="727" customFormat="1" ht="35.1" customHeight="1">
      <c r="A8" s="1248" t="s">
        <v>596</v>
      </c>
      <c r="B8" s="1249"/>
      <c r="C8" s="1249"/>
      <c r="D8" s="1249"/>
      <c r="E8" s="1249"/>
      <c r="F8" s="1249"/>
      <c r="G8" s="1249"/>
      <c r="H8" s="1249"/>
      <c r="I8" s="1249"/>
      <c r="J8" s="1250"/>
      <c r="K8" s="724"/>
      <c r="L8" s="744">
        <f>SUM(L6:L7)</f>
        <v>1</v>
      </c>
    </row>
    <row r="9" spans="1:14" ht="35.1" customHeight="1">
      <c r="A9" s="714" t="s">
        <v>594</v>
      </c>
      <c r="B9" s="715">
        <v>3</v>
      </c>
      <c r="C9" s="715"/>
      <c r="D9" s="715" t="s">
        <v>595</v>
      </c>
      <c r="E9" s="715"/>
      <c r="F9" s="716" t="s">
        <v>591</v>
      </c>
      <c r="G9" s="717">
        <v>1</v>
      </c>
      <c r="H9" s="718">
        <v>37382</v>
      </c>
      <c r="I9" s="719">
        <f>$I$1-H9</f>
        <v>2432</v>
      </c>
      <c r="J9" s="720" t="s">
        <v>592</v>
      </c>
      <c r="K9" s="721">
        <v>0.6</v>
      </c>
      <c r="L9" s="722">
        <f t="shared" ref="L9:L10" si="1">1/G9*K9</f>
        <v>0.6</v>
      </c>
    </row>
    <row r="10" spans="1:14" ht="35.1" customHeight="1">
      <c r="A10" s="714" t="s">
        <v>594</v>
      </c>
      <c r="B10" s="715">
        <v>4</v>
      </c>
      <c r="C10" s="715"/>
      <c r="D10" s="715" t="s">
        <v>595</v>
      </c>
      <c r="E10" s="715"/>
      <c r="F10" s="716" t="s">
        <v>591</v>
      </c>
      <c r="G10" s="717">
        <v>2</v>
      </c>
      <c r="H10" s="718">
        <v>37750</v>
      </c>
      <c r="I10" s="719">
        <f>$I$1-H10</f>
        <v>2064</v>
      </c>
      <c r="J10" s="720" t="s">
        <v>592</v>
      </c>
      <c r="K10" s="721">
        <v>0.6</v>
      </c>
      <c r="L10" s="722">
        <f t="shared" si="1"/>
        <v>0.3</v>
      </c>
    </row>
    <row r="11" spans="1:14" s="727" customFormat="1" ht="35.1" customHeight="1">
      <c r="A11" s="1248" t="s">
        <v>597</v>
      </c>
      <c r="B11" s="1249"/>
      <c r="C11" s="1249"/>
      <c r="D11" s="1249"/>
      <c r="E11" s="1249"/>
      <c r="F11" s="1249"/>
      <c r="G11" s="1249"/>
      <c r="H11" s="1249"/>
      <c r="I11" s="1249"/>
      <c r="J11" s="1250"/>
      <c r="K11" s="724"/>
      <c r="L11" s="744">
        <f>SUM(L9:L10)</f>
        <v>0.89999999999999991</v>
      </c>
    </row>
    <row r="12" spans="1:14" s="723" customFormat="1" ht="35.1" customHeight="1">
      <c r="A12" s="714" t="s">
        <v>594</v>
      </c>
      <c r="B12" s="715">
        <v>5</v>
      </c>
      <c r="C12" s="715"/>
      <c r="D12" s="715" t="s">
        <v>595</v>
      </c>
      <c r="E12" s="715"/>
      <c r="F12" s="716" t="s">
        <v>591</v>
      </c>
      <c r="G12" s="717">
        <v>1</v>
      </c>
      <c r="H12" s="718">
        <v>38117</v>
      </c>
      <c r="I12" s="719">
        <f t="shared" ref="I12:I13" si="2">$I$1-H12</f>
        <v>1697</v>
      </c>
      <c r="J12" s="720" t="s">
        <v>592</v>
      </c>
      <c r="K12" s="721">
        <v>1</v>
      </c>
      <c r="L12" s="722">
        <f t="shared" ref="L12:L13" si="3">1/G12*K12</f>
        <v>1</v>
      </c>
    </row>
    <row r="13" spans="1:14" s="723" customFormat="1" ht="35.1" customHeight="1">
      <c r="A13" s="714" t="s">
        <v>594</v>
      </c>
      <c r="B13" s="715">
        <v>6</v>
      </c>
      <c r="C13" s="715"/>
      <c r="D13" s="715" t="s">
        <v>595</v>
      </c>
      <c r="E13" s="715"/>
      <c r="F13" s="716" t="s">
        <v>591</v>
      </c>
      <c r="G13" s="717">
        <v>1</v>
      </c>
      <c r="H13" s="718">
        <v>38483</v>
      </c>
      <c r="I13" s="719">
        <f t="shared" si="2"/>
        <v>1331</v>
      </c>
      <c r="J13" s="720" t="s">
        <v>592</v>
      </c>
      <c r="K13" s="721">
        <v>1</v>
      </c>
      <c r="L13" s="722">
        <f t="shared" si="3"/>
        <v>1</v>
      </c>
    </row>
    <row r="14" spans="1:14" s="726" customFormat="1" ht="35.1" customHeight="1">
      <c r="A14" s="1248" t="s">
        <v>598</v>
      </c>
      <c r="B14" s="1249"/>
      <c r="C14" s="1249"/>
      <c r="D14" s="1249"/>
      <c r="E14" s="1249"/>
      <c r="F14" s="1249"/>
      <c r="G14" s="1249"/>
      <c r="H14" s="1249"/>
      <c r="I14" s="1249"/>
      <c r="J14" s="1250"/>
      <c r="K14" s="724"/>
      <c r="L14" s="744">
        <f>SUM(L12:L13)</f>
        <v>2</v>
      </c>
    </row>
    <row r="15" spans="1:14" s="723" customFormat="1" ht="35.1" customHeight="1">
      <c r="A15" s="714" t="s">
        <v>599</v>
      </c>
      <c r="B15" s="715">
        <v>1</v>
      </c>
      <c r="C15" s="715"/>
      <c r="D15" s="715" t="s">
        <v>600</v>
      </c>
      <c r="E15" s="715"/>
      <c r="F15" s="716" t="s">
        <v>591</v>
      </c>
      <c r="G15" s="717">
        <v>1</v>
      </c>
      <c r="H15" s="718">
        <v>37015</v>
      </c>
      <c r="I15" s="719">
        <f>$I$1-H15</f>
        <v>2799</v>
      </c>
      <c r="J15" s="720" t="s">
        <v>592</v>
      </c>
      <c r="K15" s="721">
        <v>1</v>
      </c>
      <c r="L15" s="722">
        <f t="shared" ref="L15:L16" si="4">1/G15*K15</f>
        <v>1</v>
      </c>
    </row>
    <row r="16" spans="1:14" s="723" customFormat="1" ht="35.1" customHeight="1">
      <c r="A16" s="714" t="s">
        <v>599</v>
      </c>
      <c r="B16" s="715">
        <v>2</v>
      </c>
      <c r="C16" s="715"/>
      <c r="D16" s="715" t="s">
        <v>600</v>
      </c>
      <c r="E16" s="715"/>
      <c r="F16" s="716" t="s">
        <v>591</v>
      </c>
      <c r="G16" s="717">
        <v>2</v>
      </c>
      <c r="H16" s="718">
        <v>37380</v>
      </c>
      <c r="I16" s="719">
        <f>$I$1-H16</f>
        <v>2434</v>
      </c>
      <c r="J16" s="720" t="s">
        <v>592</v>
      </c>
      <c r="K16" s="721">
        <v>1</v>
      </c>
      <c r="L16" s="722">
        <f t="shared" si="4"/>
        <v>0.5</v>
      </c>
    </row>
    <row r="17" spans="1:12" s="726" customFormat="1" ht="35.1" customHeight="1">
      <c r="A17" s="1248" t="s">
        <v>601</v>
      </c>
      <c r="B17" s="1249"/>
      <c r="C17" s="1249"/>
      <c r="D17" s="1249"/>
      <c r="E17" s="1249"/>
      <c r="F17" s="1249"/>
      <c r="G17" s="1249"/>
      <c r="H17" s="1249"/>
      <c r="I17" s="1249"/>
      <c r="J17" s="1250"/>
      <c r="K17" s="724"/>
      <c r="L17" s="744">
        <f>SUM(L15:L16)</f>
        <v>1.5</v>
      </c>
    </row>
    <row r="18" spans="1:12" s="723" customFormat="1" ht="35.1" customHeight="1">
      <c r="A18" s="714" t="s">
        <v>599</v>
      </c>
      <c r="B18" s="715">
        <v>3</v>
      </c>
      <c r="C18" s="715"/>
      <c r="D18" s="715" t="s">
        <v>600</v>
      </c>
      <c r="E18" s="715"/>
      <c r="F18" s="716" t="s">
        <v>591</v>
      </c>
      <c r="G18" s="717">
        <v>1</v>
      </c>
      <c r="H18" s="718">
        <v>38476</v>
      </c>
      <c r="I18" s="719">
        <f>$I$1-H18</f>
        <v>1338</v>
      </c>
      <c r="J18" s="720" t="s">
        <v>592</v>
      </c>
      <c r="K18" s="721">
        <v>1</v>
      </c>
      <c r="L18" s="722">
        <f t="shared" ref="L18:L19" si="5">1/G18*K18</f>
        <v>1</v>
      </c>
    </row>
    <row r="19" spans="1:12" s="723" customFormat="1" ht="35.1" customHeight="1">
      <c r="A19" s="714" t="s">
        <v>599</v>
      </c>
      <c r="B19" s="715">
        <v>4</v>
      </c>
      <c r="C19" s="715"/>
      <c r="D19" s="715" t="s">
        <v>600</v>
      </c>
      <c r="E19" s="715"/>
      <c r="F19" s="716" t="s">
        <v>591</v>
      </c>
      <c r="G19" s="717">
        <v>2</v>
      </c>
      <c r="H19" s="718">
        <v>39206</v>
      </c>
      <c r="I19" s="719">
        <f>$I$1-H19</f>
        <v>608</v>
      </c>
      <c r="J19" s="720" t="s">
        <v>592</v>
      </c>
      <c r="K19" s="721">
        <v>1</v>
      </c>
      <c r="L19" s="722">
        <f t="shared" si="5"/>
        <v>0.5</v>
      </c>
    </row>
    <row r="20" spans="1:12" s="726" customFormat="1" ht="35.1" customHeight="1">
      <c r="A20" s="1248" t="s">
        <v>602</v>
      </c>
      <c r="B20" s="1249"/>
      <c r="C20" s="1249"/>
      <c r="D20" s="1249"/>
      <c r="E20" s="1249"/>
      <c r="F20" s="1249"/>
      <c r="G20" s="1249"/>
      <c r="H20" s="1249"/>
      <c r="I20" s="1249"/>
      <c r="J20" s="1250"/>
      <c r="K20" s="724"/>
      <c r="L20" s="744">
        <f>SUM(L18:L19)</f>
        <v>1.5</v>
      </c>
    </row>
    <row r="21" spans="1:12" s="723" customFormat="1" ht="35.1" customHeight="1">
      <c r="A21" s="714" t="s">
        <v>603</v>
      </c>
      <c r="B21" s="715">
        <v>1</v>
      </c>
      <c r="C21" s="715"/>
      <c r="D21" s="715" t="s">
        <v>604</v>
      </c>
      <c r="E21" s="715"/>
      <c r="F21" s="716" t="s">
        <v>591</v>
      </c>
      <c r="G21" s="717">
        <v>1</v>
      </c>
      <c r="H21" s="718">
        <v>38476</v>
      </c>
      <c r="I21" s="719">
        <f t="shared" ref="I21:I22" si="6">$I$1-H21</f>
        <v>1338</v>
      </c>
      <c r="J21" s="720" t="s">
        <v>592</v>
      </c>
      <c r="K21" s="721">
        <v>1</v>
      </c>
      <c r="L21" s="722">
        <f t="shared" ref="L21:L22" si="7">1/G21*K21</f>
        <v>1</v>
      </c>
    </row>
    <row r="22" spans="1:12" s="723" customFormat="1" ht="35.1" customHeight="1">
      <c r="A22" s="714" t="s">
        <v>603</v>
      </c>
      <c r="B22" s="715">
        <v>2</v>
      </c>
      <c r="C22" s="715"/>
      <c r="D22" s="715" t="s">
        <v>604</v>
      </c>
      <c r="E22" s="715"/>
      <c r="F22" s="716" t="s">
        <v>591</v>
      </c>
      <c r="G22" s="717">
        <v>2</v>
      </c>
      <c r="H22" s="718">
        <v>39206</v>
      </c>
      <c r="I22" s="719">
        <f t="shared" si="6"/>
        <v>608</v>
      </c>
      <c r="J22" s="720" t="s">
        <v>592</v>
      </c>
      <c r="K22" s="721">
        <v>1</v>
      </c>
      <c r="L22" s="722">
        <f t="shared" si="7"/>
        <v>0.5</v>
      </c>
    </row>
    <row r="23" spans="1:12" s="726" customFormat="1" ht="35.1" customHeight="1">
      <c r="A23" s="1248" t="s">
        <v>605</v>
      </c>
      <c r="B23" s="1249"/>
      <c r="C23" s="1249"/>
      <c r="D23" s="1249"/>
      <c r="E23" s="1249"/>
      <c r="F23" s="1249"/>
      <c r="G23" s="1249"/>
      <c r="H23" s="1249"/>
      <c r="I23" s="1249"/>
      <c r="J23" s="1250"/>
      <c r="K23" s="724"/>
      <c r="L23" s="725">
        <f>SUM(L21:L22)</f>
        <v>1.5</v>
      </c>
    </row>
    <row r="24" spans="1:12" s="726" customFormat="1" ht="35.1" customHeight="1">
      <c r="A24" s="304"/>
      <c r="B24" s="304"/>
      <c r="C24" s="304"/>
      <c r="D24" s="304"/>
      <c r="E24" s="304"/>
      <c r="F24" s="304"/>
      <c r="G24" s="304"/>
      <c r="H24" s="304"/>
      <c r="I24" s="304"/>
      <c r="J24" s="304"/>
      <c r="K24" s="729"/>
      <c r="L24" s="731"/>
    </row>
    <row r="25" spans="1:12" s="726" customFormat="1" ht="35.1" customHeight="1">
      <c r="A25" s="304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731"/>
    </row>
    <row r="26" spans="1:12" s="726" customFormat="1" ht="35.1" customHeight="1" thickBot="1">
      <c r="A26" s="304"/>
      <c r="B26" s="304"/>
      <c r="C26" s="304"/>
      <c r="D26" s="304"/>
      <c r="E26" s="304"/>
      <c r="F26" s="304"/>
      <c r="G26" s="304"/>
      <c r="H26" s="304"/>
      <c r="I26" s="304"/>
      <c r="J26" s="304"/>
      <c r="K26" s="316"/>
      <c r="L26" s="731"/>
    </row>
    <row r="27" spans="1:12" ht="15" customHeight="1">
      <c r="A27" s="732" t="s">
        <v>606</v>
      </c>
      <c r="B27" s="308" t="s">
        <v>607</v>
      </c>
      <c r="C27" s="308"/>
      <c r="D27" s="733"/>
      <c r="E27" s="745"/>
      <c r="F27" s="745"/>
      <c r="G27" s="746"/>
      <c r="H27" s="746"/>
      <c r="I27" s="747"/>
      <c r="J27" s="748"/>
      <c r="K27" s="316"/>
      <c r="L27" s="552"/>
    </row>
    <row r="28" spans="1:12" ht="15" customHeight="1">
      <c r="A28" s="732" t="s">
        <v>608</v>
      </c>
      <c r="B28" s="308" t="s">
        <v>609</v>
      </c>
      <c r="C28" s="308"/>
      <c r="D28" s="733"/>
      <c r="E28" s="745"/>
      <c r="F28" s="733"/>
      <c r="H28" s="737"/>
      <c r="I28" s="737"/>
      <c r="K28" s="316"/>
    </row>
    <row r="29" spans="1:12" ht="15" customHeight="1">
      <c r="A29" s="732"/>
      <c r="B29" s="308"/>
      <c r="C29" s="308"/>
      <c r="D29" s="733"/>
      <c r="E29" s="733"/>
      <c r="F29" s="733"/>
      <c r="H29" s="737"/>
      <c r="I29" s="737"/>
    </row>
    <row r="30" spans="1:12" ht="15" customHeight="1">
      <c r="A30" s="736"/>
      <c r="H30" s="737"/>
      <c r="I30" s="737"/>
    </row>
    <row r="31" spans="1:12" ht="15" customHeight="1">
      <c r="A31" s="736"/>
      <c r="H31" s="737"/>
      <c r="I31" s="737"/>
    </row>
    <row r="32" spans="1:12" ht="15" customHeight="1">
      <c r="A32" s="736"/>
      <c r="H32" s="737"/>
      <c r="I32" s="737"/>
    </row>
    <row r="33" spans="1:14" ht="15" customHeight="1">
      <c r="C33" s="320"/>
      <c r="D33" s="320"/>
      <c r="F33" s="320"/>
      <c r="G33" s="739"/>
      <c r="H33" s="335"/>
      <c r="I33" s="335"/>
    </row>
    <row r="34" spans="1:14" ht="15" customHeight="1">
      <c r="C34" s="320"/>
      <c r="D34" s="320"/>
      <c r="E34" s="320"/>
      <c r="F34" s="320"/>
      <c r="G34" s="739"/>
      <c r="H34" s="335"/>
      <c r="I34" s="335"/>
    </row>
    <row r="35" spans="1:14" s="749" customFormat="1" ht="15" customHeight="1">
      <c r="A35" s="318"/>
      <c r="B35" s="324"/>
      <c r="C35" s="320"/>
      <c r="D35" s="320"/>
      <c r="E35" s="320"/>
      <c r="F35" s="320"/>
      <c r="G35" s="739"/>
      <c r="H35" s="335"/>
      <c r="I35" s="335"/>
      <c r="K35" s="321"/>
      <c r="L35" s="321"/>
      <c r="M35" s="323"/>
      <c r="N35" s="323"/>
    </row>
    <row r="36" spans="1:14" s="749" customFormat="1" ht="15" customHeight="1">
      <c r="A36" s="318"/>
      <c r="B36" s="324"/>
      <c r="C36" s="320"/>
      <c r="D36" s="320"/>
      <c r="E36" s="320"/>
      <c r="F36" s="320"/>
      <c r="G36" s="739"/>
      <c r="H36" s="335"/>
      <c r="I36" s="335"/>
      <c r="K36" s="321"/>
      <c r="L36" s="321"/>
      <c r="M36" s="323"/>
      <c r="N36" s="323"/>
    </row>
    <row r="37" spans="1:14" s="749" customFormat="1" ht="15" customHeight="1">
      <c r="A37" s="318"/>
      <c r="B37" s="324"/>
      <c r="C37" s="320"/>
      <c r="D37" s="320"/>
      <c r="E37" s="320"/>
      <c r="F37" s="320"/>
      <c r="G37" s="739"/>
      <c r="H37" s="335"/>
      <c r="I37" s="335"/>
      <c r="K37" s="321"/>
      <c r="L37" s="321"/>
      <c r="M37" s="323"/>
      <c r="N37" s="323"/>
    </row>
    <row r="38" spans="1:14" s="749" customFormat="1" ht="12" customHeight="1">
      <c r="A38" s="318"/>
      <c r="B38" s="324"/>
      <c r="C38" s="320"/>
      <c r="D38" s="320"/>
      <c r="E38" s="320"/>
      <c r="F38" s="320"/>
      <c r="G38" s="739"/>
      <c r="H38" s="335"/>
      <c r="I38" s="335"/>
      <c r="K38" s="321"/>
      <c r="L38" s="321"/>
      <c r="M38" s="323"/>
      <c r="N38" s="323"/>
    </row>
    <row r="39" spans="1:14" s="749" customFormat="1" ht="12" customHeight="1">
      <c r="A39" s="318"/>
      <c r="B39" s="324"/>
      <c r="C39" s="320"/>
      <c r="D39" s="320"/>
      <c r="E39" s="320"/>
      <c r="F39" s="320"/>
      <c r="G39" s="739"/>
      <c r="H39" s="335"/>
      <c r="I39" s="335"/>
      <c r="K39" s="321"/>
      <c r="L39" s="321"/>
      <c r="M39" s="323"/>
      <c r="N39" s="323"/>
    </row>
    <row r="40" spans="1:14" s="749" customFormat="1" ht="12" customHeight="1">
      <c r="A40" s="318"/>
      <c r="B40" s="324"/>
      <c r="C40" s="320"/>
      <c r="D40" s="320"/>
      <c r="E40" s="320"/>
      <c r="F40" s="320"/>
      <c r="G40" s="739"/>
      <c r="H40" s="335"/>
      <c r="I40" s="335"/>
      <c r="K40" s="321"/>
      <c r="L40" s="321"/>
      <c r="M40" s="323"/>
      <c r="N40" s="323"/>
    </row>
    <row r="41" spans="1:14" s="749" customFormat="1" ht="12" customHeight="1">
      <c r="A41" s="318"/>
      <c r="B41" s="324"/>
      <c r="C41" s="320"/>
      <c r="D41" s="320"/>
      <c r="E41" s="320"/>
      <c r="F41" s="320"/>
      <c r="G41" s="739"/>
      <c r="H41" s="335"/>
      <c r="I41" s="335"/>
      <c r="K41" s="321"/>
      <c r="L41" s="321"/>
      <c r="M41" s="323"/>
      <c r="N41" s="323"/>
    </row>
    <row r="42" spans="1:14" s="749" customFormat="1" ht="12" customHeight="1">
      <c r="A42" s="318"/>
      <c r="B42" s="324"/>
      <c r="C42" s="320"/>
      <c r="D42" s="320"/>
      <c r="E42" s="320"/>
      <c r="F42" s="320"/>
      <c r="G42" s="739"/>
      <c r="H42" s="335"/>
      <c r="I42" s="335"/>
      <c r="K42" s="321"/>
      <c r="L42" s="321"/>
      <c r="M42" s="323"/>
      <c r="N42" s="323"/>
    </row>
    <row r="43" spans="1:14" s="749" customFormat="1" ht="12" customHeight="1">
      <c r="A43" s="318"/>
      <c r="B43" s="324"/>
      <c r="C43" s="320"/>
      <c r="D43" s="320"/>
      <c r="E43" s="320"/>
      <c r="F43" s="320"/>
      <c r="G43" s="739"/>
      <c r="H43" s="335"/>
      <c r="I43" s="335"/>
      <c r="K43" s="321"/>
      <c r="L43" s="321"/>
      <c r="M43" s="323"/>
      <c r="N43" s="323"/>
    </row>
    <row r="44" spans="1:14" s="749" customFormat="1" ht="12" customHeight="1">
      <c r="A44" s="318"/>
      <c r="B44" s="324"/>
      <c r="C44" s="320"/>
      <c r="D44" s="320"/>
      <c r="E44" s="320"/>
      <c r="F44" s="320"/>
      <c r="G44" s="739"/>
      <c r="H44" s="335"/>
      <c r="I44" s="335"/>
      <c r="K44" s="321"/>
      <c r="L44" s="321"/>
      <c r="M44" s="323"/>
      <c r="N44" s="323"/>
    </row>
    <row r="45" spans="1:14" s="749" customFormat="1" ht="12" customHeight="1">
      <c r="A45" s="318"/>
      <c r="B45" s="324"/>
      <c r="C45" s="320"/>
      <c r="D45" s="320"/>
      <c r="E45" s="320"/>
      <c r="F45" s="320"/>
      <c r="G45" s="739"/>
      <c r="H45" s="335"/>
      <c r="I45" s="335"/>
      <c r="K45" s="321"/>
      <c r="L45" s="321"/>
      <c r="M45" s="323"/>
      <c r="N45" s="323"/>
    </row>
    <row r="46" spans="1:14" s="749" customFormat="1" ht="12" customHeight="1">
      <c r="A46" s="318"/>
      <c r="B46" s="324"/>
      <c r="C46" s="320"/>
      <c r="D46" s="320"/>
      <c r="E46" s="320"/>
      <c r="F46" s="320"/>
      <c r="G46" s="739"/>
      <c r="H46" s="335"/>
      <c r="I46" s="335"/>
      <c r="K46" s="321"/>
      <c r="L46" s="321"/>
      <c r="M46" s="323"/>
      <c r="N46" s="323"/>
    </row>
    <row r="47" spans="1:14" s="749" customFormat="1" ht="12" customHeight="1">
      <c r="A47" s="318"/>
      <c r="B47" s="324"/>
      <c r="C47" s="320"/>
      <c r="D47" s="320"/>
      <c r="E47" s="320"/>
      <c r="F47" s="320"/>
      <c r="G47" s="739"/>
      <c r="H47" s="335"/>
      <c r="I47" s="335"/>
      <c r="K47" s="321"/>
      <c r="L47" s="321"/>
      <c r="M47" s="323"/>
      <c r="N47" s="323"/>
    </row>
    <row r="48" spans="1:14" s="749" customFormat="1" ht="12" customHeight="1">
      <c r="A48" s="318"/>
      <c r="B48" s="324"/>
      <c r="C48" s="320"/>
      <c r="D48" s="320"/>
      <c r="E48" s="320"/>
      <c r="F48" s="320"/>
      <c r="G48" s="739"/>
      <c r="H48" s="335"/>
      <c r="I48" s="335"/>
      <c r="K48" s="321"/>
      <c r="L48" s="321"/>
      <c r="M48" s="323"/>
      <c r="N48" s="323"/>
    </row>
    <row r="49" spans="1:14" s="749" customFormat="1" ht="12" customHeight="1">
      <c r="A49" s="318"/>
      <c r="B49" s="324"/>
      <c r="C49" s="320"/>
      <c r="D49" s="320"/>
      <c r="E49" s="320"/>
      <c r="F49" s="320"/>
      <c r="G49" s="739"/>
      <c r="H49" s="335"/>
      <c r="I49" s="335"/>
      <c r="K49" s="321"/>
      <c r="L49" s="321"/>
      <c r="M49" s="323"/>
      <c r="N49" s="323"/>
    </row>
    <row r="50" spans="1:14" s="749" customFormat="1" ht="12" customHeight="1">
      <c r="A50" s="318"/>
      <c r="B50" s="324"/>
      <c r="C50" s="320"/>
      <c r="D50" s="320"/>
      <c r="E50" s="320"/>
      <c r="F50" s="320"/>
      <c r="G50" s="739"/>
      <c r="H50" s="335"/>
      <c r="I50" s="335"/>
      <c r="K50" s="321"/>
      <c r="L50" s="321"/>
      <c r="M50" s="323"/>
      <c r="N50" s="323"/>
    </row>
    <row r="51" spans="1:14" s="749" customFormat="1" ht="12" customHeight="1">
      <c r="A51" s="318"/>
      <c r="B51" s="324"/>
      <c r="C51" s="320"/>
      <c r="D51" s="320"/>
      <c r="E51" s="320"/>
      <c r="F51" s="320"/>
      <c r="G51" s="739"/>
      <c r="H51" s="335"/>
      <c r="I51" s="335"/>
      <c r="K51" s="321"/>
      <c r="L51" s="321"/>
      <c r="M51" s="323"/>
      <c r="N51" s="323"/>
    </row>
    <row r="52" spans="1:14" s="749" customFormat="1" ht="12" customHeight="1">
      <c r="A52" s="318"/>
      <c r="B52" s="324"/>
      <c r="C52" s="320"/>
      <c r="D52" s="320"/>
      <c r="E52" s="320"/>
      <c r="F52" s="320"/>
      <c r="G52" s="739"/>
      <c r="H52" s="335"/>
      <c r="I52" s="335"/>
      <c r="K52" s="321"/>
      <c r="L52" s="321"/>
      <c r="M52" s="323"/>
      <c r="N52" s="323"/>
    </row>
    <row r="53" spans="1:14" s="749" customFormat="1" ht="12" customHeight="1">
      <c r="A53" s="318"/>
      <c r="B53" s="324"/>
      <c r="C53" s="320"/>
      <c r="D53" s="320"/>
      <c r="E53" s="320"/>
      <c r="F53" s="320"/>
      <c r="G53" s="739"/>
      <c r="H53" s="335"/>
      <c r="I53" s="335"/>
      <c r="K53" s="321"/>
      <c r="L53" s="321"/>
      <c r="M53" s="323"/>
      <c r="N53" s="323"/>
    </row>
    <row r="54" spans="1:14" s="749" customFormat="1" ht="12" customHeight="1">
      <c r="A54" s="318"/>
      <c r="B54" s="324"/>
      <c r="C54" s="320"/>
      <c r="D54" s="320"/>
      <c r="E54" s="320"/>
      <c r="F54" s="320"/>
      <c r="G54" s="739"/>
      <c r="H54" s="335"/>
      <c r="I54" s="335"/>
      <c r="K54" s="321"/>
      <c r="L54" s="321"/>
      <c r="M54" s="323"/>
      <c r="N54" s="323"/>
    </row>
    <row r="55" spans="1:14" s="749" customFormat="1" ht="12" customHeight="1">
      <c r="A55" s="318"/>
      <c r="B55" s="324"/>
      <c r="C55" s="320"/>
      <c r="D55" s="320"/>
      <c r="E55" s="320"/>
      <c r="F55" s="320"/>
      <c r="G55" s="739"/>
      <c r="H55" s="335"/>
      <c r="I55" s="335"/>
      <c r="K55" s="321"/>
      <c r="L55" s="321"/>
      <c r="M55" s="323"/>
      <c r="N55" s="323"/>
    </row>
    <row r="56" spans="1:14" s="749" customFormat="1" ht="12" customHeight="1">
      <c r="A56" s="318"/>
      <c r="B56" s="324"/>
      <c r="C56" s="320"/>
      <c r="D56" s="320"/>
      <c r="E56" s="320"/>
      <c r="F56" s="320"/>
      <c r="G56" s="739"/>
      <c r="H56" s="335"/>
      <c r="I56" s="335"/>
      <c r="K56" s="321"/>
      <c r="L56" s="321"/>
      <c r="M56" s="323"/>
      <c r="N56" s="323"/>
    </row>
    <row r="57" spans="1:14" s="749" customFormat="1" ht="12" customHeight="1">
      <c r="A57" s="318"/>
      <c r="B57" s="324"/>
      <c r="C57" s="320"/>
      <c r="D57" s="320"/>
      <c r="E57" s="320"/>
      <c r="F57" s="320"/>
      <c r="G57" s="739"/>
      <c r="H57" s="335"/>
      <c r="I57" s="335"/>
      <c r="K57" s="321"/>
      <c r="L57" s="321"/>
      <c r="M57" s="323"/>
      <c r="N57" s="323"/>
    </row>
    <row r="58" spans="1:14" s="749" customFormat="1" ht="12" customHeight="1">
      <c r="A58" s="318"/>
      <c r="B58" s="324"/>
      <c r="C58" s="320"/>
      <c r="D58" s="320"/>
      <c r="E58" s="320"/>
      <c r="F58" s="320"/>
      <c r="G58" s="739"/>
      <c r="H58" s="335"/>
      <c r="I58" s="335"/>
      <c r="K58" s="321"/>
      <c r="L58" s="321"/>
      <c r="M58" s="323"/>
      <c r="N58" s="323"/>
    </row>
    <row r="59" spans="1:14" s="749" customFormat="1" ht="12" customHeight="1">
      <c r="A59" s="318"/>
      <c r="B59" s="324"/>
      <c r="C59" s="320"/>
      <c r="D59" s="320"/>
      <c r="E59" s="320"/>
      <c r="F59" s="320"/>
      <c r="G59" s="739"/>
      <c r="H59" s="335"/>
      <c r="I59" s="335"/>
      <c r="K59" s="321"/>
      <c r="L59" s="321"/>
      <c r="M59" s="323"/>
      <c r="N59" s="323"/>
    </row>
    <row r="60" spans="1:14" s="749" customFormat="1" ht="12" customHeight="1">
      <c r="A60" s="318"/>
      <c r="B60" s="324"/>
      <c r="C60" s="320"/>
      <c r="D60" s="320"/>
      <c r="E60" s="320"/>
      <c r="F60" s="320"/>
      <c r="G60" s="739"/>
      <c r="H60" s="335"/>
      <c r="I60" s="335"/>
      <c r="K60" s="321"/>
      <c r="L60" s="321"/>
      <c r="M60" s="323"/>
      <c r="N60" s="323"/>
    </row>
    <row r="61" spans="1:14" s="749" customFormat="1" ht="12" customHeight="1">
      <c r="A61" s="318"/>
      <c r="B61" s="324"/>
      <c r="C61" s="320"/>
      <c r="D61" s="320"/>
      <c r="E61" s="320"/>
      <c r="F61" s="320"/>
      <c r="G61" s="739"/>
      <c r="H61" s="335"/>
      <c r="I61" s="335"/>
      <c r="K61" s="321"/>
      <c r="L61" s="321"/>
      <c r="M61" s="323"/>
      <c r="N61" s="323"/>
    </row>
    <row r="62" spans="1:14" s="749" customFormat="1" ht="12" customHeight="1">
      <c r="A62" s="318"/>
      <c r="B62" s="324"/>
      <c r="C62" s="320"/>
      <c r="D62" s="320"/>
      <c r="E62" s="320"/>
      <c r="F62" s="320"/>
      <c r="G62" s="739"/>
      <c r="H62" s="335"/>
      <c r="I62" s="335"/>
      <c r="K62" s="321"/>
      <c r="L62" s="321"/>
      <c r="M62" s="323"/>
      <c r="N62" s="323"/>
    </row>
    <row r="63" spans="1:14" s="749" customFormat="1" ht="12" customHeight="1">
      <c r="A63" s="318"/>
      <c r="B63" s="324"/>
      <c r="C63" s="320"/>
      <c r="D63" s="320"/>
      <c r="E63" s="320"/>
      <c r="F63" s="320"/>
      <c r="G63" s="739"/>
      <c r="H63" s="335"/>
      <c r="I63" s="335"/>
      <c r="K63" s="321"/>
      <c r="L63" s="321"/>
      <c r="M63" s="323"/>
      <c r="N63" s="323"/>
    </row>
    <row r="64" spans="1:14" s="749" customFormat="1" ht="12" customHeight="1">
      <c r="A64" s="318"/>
      <c r="B64" s="324"/>
      <c r="C64" s="320"/>
      <c r="D64" s="320"/>
      <c r="E64" s="320"/>
      <c r="F64" s="320"/>
      <c r="G64" s="739"/>
      <c r="H64" s="335"/>
      <c r="I64" s="335"/>
      <c r="K64" s="321"/>
      <c r="L64" s="321"/>
      <c r="M64" s="323"/>
      <c r="N64" s="323"/>
    </row>
    <row r="65" spans="1:14" s="749" customFormat="1" ht="12" customHeight="1">
      <c r="A65" s="318"/>
      <c r="B65" s="324"/>
      <c r="C65" s="320"/>
      <c r="D65" s="320"/>
      <c r="E65" s="320"/>
      <c r="F65" s="320"/>
      <c r="G65" s="739"/>
      <c r="H65" s="335"/>
      <c r="I65" s="335"/>
      <c r="K65" s="321"/>
      <c r="L65" s="321"/>
      <c r="M65" s="323"/>
      <c r="N65" s="323"/>
    </row>
    <row r="66" spans="1:14" s="749" customFormat="1" ht="12" customHeight="1">
      <c r="A66" s="318"/>
      <c r="B66" s="324"/>
      <c r="C66" s="320"/>
      <c r="D66" s="320"/>
      <c r="E66" s="320"/>
      <c r="F66" s="320"/>
      <c r="G66" s="739"/>
      <c r="H66" s="335"/>
      <c r="I66" s="335"/>
      <c r="K66" s="321"/>
      <c r="L66" s="321"/>
      <c r="M66" s="323"/>
      <c r="N66" s="323"/>
    </row>
    <row r="67" spans="1:14" s="749" customFormat="1" ht="12" customHeight="1">
      <c r="A67" s="318"/>
      <c r="B67" s="324"/>
      <c r="C67" s="320"/>
      <c r="D67" s="320"/>
      <c r="E67" s="320"/>
      <c r="F67" s="320"/>
      <c r="G67" s="739"/>
      <c r="H67" s="335"/>
      <c r="I67" s="335"/>
      <c r="K67" s="321"/>
      <c r="L67" s="321"/>
      <c r="M67" s="323"/>
      <c r="N67" s="323"/>
    </row>
    <row r="68" spans="1:14" s="749" customFormat="1" ht="12" customHeight="1">
      <c r="A68" s="318"/>
      <c r="B68" s="324"/>
      <c r="C68" s="320"/>
      <c r="D68" s="320"/>
      <c r="E68" s="320"/>
      <c r="F68" s="320"/>
      <c r="G68" s="739"/>
      <c r="H68" s="335"/>
      <c r="I68" s="335"/>
      <c r="K68" s="321"/>
      <c r="L68" s="321"/>
      <c r="M68" s="323"/>
      <c r="N68" s="323"/>
    </row>
    <row r="69" spans="1:14" s="749" customFormat="1" ht="12" customHeight="1">
      <c r="A69" s="318"/>
      <c r="B69" s="324"/>
      <c r="C69" s="320"/>
      <c r="D69" s="320"/>
      <c r="E69" s="320"/>
      <c r="F69" s="320"/>
      <c r="G69" s="739"/>
      <c r="H69" s="335"/>
      <c r="I69" s="335"/>
      <c r="K69" s="321"/>
      <c r="L69" s="321"/>
      <c r="M69" s="323"/>
      <c r="N69" s="323"/>
    </row>
    <row r="70" spans="1:14" s="749" customFormat="1" ht="12" customHeight="1">
      <c r="A70" s="318"/>
      <c r="B70" s="324"/>
      <c r="C70" s="320"/>
      <c r="D70" s="320"/>
      <c r="E70" s="320"/>
      <c r="F70" s="320"/>
      <c r="G70" s="739"/>
      <c r="H70" s="335"/>
      <c r="I70" s="335"/>
      <c r="K70" s="321"/>
      <c r="L70" s="321"/>
      <c r="M70" s="323"/>
      <c r="N70" s="323"/>
    </row>
    <row r="71" spans="1:14" s="749" customFormat="1" ht="12" customHeight="1">
      <c r="A71" s="318"/>
      <c r="B71" s="324"/>
      <c r="C71" s="320"/>
      <c r="D71" s="320"/>
      <c r="E71" s="320"/>
      <c r="F71" s="320"/>
      <c r="G71" s="739"/>
      <c r="H71" s="335"/>
      <c r="I71" s="335"/>
      <c r="K71" s="321"/>
      <c r="L71" s="321"/>
      <c r="M71" s="323"/>
      <c r="N71" s="323"/>
    </row>
    <row r="72" spans="1:14" s="749" customFormat="1" ht="12" customHeight="1">
      <c r="A72" s="318"/>
      <c r="B72" s="324"/>
      <c r="C72" s="320"/>
      <c r="D72" s="320"/>
      <c r="E72" s="320"/>
      <c r="F72" s="320"/>
      <c r="G72" s="739"/>
      <c r="H72" s="335"/>
      <c r="I72" s="335"/>
      <c r="K72" s="321"/>
      <c r="L72" s="321"/>
      <c r="M72" s="323"/>
      <c r="N72" s="323"/>
    </row>
    <row r="73" spans="1:14" s="749" customFormat="1" ht="12" customHeight="1">
      <c r="A73" s="318"/>
      <c r="B73" s="324"/>
      <c r="C73" s="320"/>
      <c r="D73" s="320"/>
      <c r="E73" s="320"/>
      <c r="F73" s="320"/>
      <c r="G73" s="739"/>
      <c r="H73" s="335"/>
      <c r="I73" s="335"/>
      <c r="K73" s="321"/>
      <c r="L73" s="321"/>
      <c r="M73" s="323"/>
      <c r="N73" s="323"/>
    </row>
    <row r="74" spans="1:14" s="749" customFormat="1" ht="12" customHeight="1">
      <c r="A74" s="318"/>
      <c r="B74" s="324"/>
      <c r="C74" s="320"/>
      <c r="D74" s="320"/>
      <c r="E74" s="320"/>
      <c r="F74" s="320"/>
      <c r="G74" s="739"/>
      <c r="H74" s="335"/>
      <c r="I74" s="335"/>
      <c r="K74" s="321"/>
      <c r="L74" s="321"/>
      <c r="M74" s="323"/>
      <c r="N74" s="323"/>
    </row>
    <row r="75" spans="1:14" s="749" customFormat="1" ht="12" customHeight="1">
      <c r="A75" s="318"/>
      <c r="B75" s="324"/>
      <c r="C75" s="320"/>
      <c r="D75" s="320"/>
      <c r="E75" s="320"/>
      <c r="F75" s="320"/>
      <c r="G75" s="739"/>
      <c r="H75" s="335"/>
      <c r="I75" s="335"/>
      <c r="K75" s="321"/>
      <c r="L75" s="321"/>
      <c r="M75" s="323"/>
      <c r="N75" s="323"/>
    </row>
    <row r="76" spans="1:14" s="749" customFormat="1" ht="12" customHeight="1">
      <c r="A76" s="318"/>
      <c r="B76" s="324"/>
      <c r="C76" s="320"/>
      <c r="D76" s="320"/>
      <c r="E76" s="320"/>
      <c r="F76" s="320"/>
      <c r="G76" s="739"/>
      <c r="H76" s="335"/>
      <c r="I76" s="335"/>
      <c r="K76" s="321"/>
      <c r="L76" s="321"/>
      <c r="M76" s="323"/>
      <c r="N76" s="323"/>
    </row>
    <row r="77" spans="1:14" s="749" customFormat="1" ht="12" customHeight="1">
      <c r="A77" s="318"/>
      <c r="B77" s="324"/>
      <c r="C77" s="320"/>
      <c r="D77" s="320"/>
      <c r="E77" s="320"/>
      <c r="F77" s="320"/>
      <c r="G77" s="739"/>
      <c r="H77" s="335"/>
      <c r="I77" s="335"/>
      <c r="K77" s="321"/>
      <c r="L77" s="321"/>
      <c r="M77" s="323"/>
      <c r="N77" s="323"/>
    </row>
    <row r="78" spans="1:14" s="749" customFormat="1" ht="12" customHeight="1">
      <c r="A78" s="318"/>
      <c r="B78" s="324"/>
      <c r="C78" s="320"/>
      <c r="D78" s="320"/>
      <c r="E78" s="320"/>
      <c r="F78" s="320"/>
      <c r="G78" s="739"/>
      <c r="H78" s="335"/>
      <c r="I78" s="335"/>
      <c r="K78" s="321"/>
      <c r="L78" s="321"/>
      <c r="M78" s="323"/>
      <c r="N78" s="323"/>
    </row>
    <row r="79" spans="1:14" s="749" customFormat="1" ht="12" customHeight="1">
      <c r="A79" s="318"/>
      <c r="B79" s="324"/>
      <c r="C79" s="320"/>
      <c r="D79" s="320"/>
      <c r="E79" s="320"/>
      <c r="F79" s="320"/>
      <c r="G79" s="739"/>
      <c r="H79" s="335"/>
      <c r="I79" s="335"/>
      <c r="K79" s="321"/>
      <c r="L79" s="321"/>
      <c r="M79" s="323"/>
      <c r="N79" s="323"/>
    </row>
    <row r="80" spans="1:14" s="749" customFormat="1" ht="12" customHeight="1">
      <c r="A80" s="318"/>
      <c r="B80" s="324"/>
      <c r="C80" s="320"/>
      <c r="D80" s="320"/>
      <c r="E80" s="320"/>
      <c r="F80" s="320"/>
      <c r="G80" s="739"/>
      <c r="H80" s="335"/>
      <c r="I80" s="335"/>
      <c r="K80" s="321"/>
      <c r="L80" s="321"/>
      <c r="M80" s="323"/>
      <c r="N80" s="323"/>
    </row>
    <row r="81" spans="1:14" s="749" customFormat="1" ht="12" customHeight="1">
      <c r="A81" s="318"/>
      <c r="B81" s="324"/>
      <c r="C81" s="320"/>
      <c r="D81" s="320"/>
      <c r="E81" s="320"/>
      <c r="F81" s="320"/>
      <c r="G81" s="739"/>
      <c r="H81" s="335"/>
      <c r="I81" s="335"/>
      <c r="K81" s="321"/>
      <c r="L81" s="321"/>
      <c r="M81" s="323"/>
      <c r="N81" s="323"/>
    </row>
    <row r="82" spans="1:14" s="749" customFormat="1" ht="12" customHeight="1">
      <c r="A82" s="318"/>
      <c r="B82" s="324"/>
      <c r="C82" s="320"/>
      <c r="D82" s="320"/>
      <c r="E82" s="320"/>
      <c r="F82" s="320"/>
      <c r="G82" s="739"/>
      <c r="H82" s="335"/>
      <c r="I82" s="335"/>
      <c r="K82" s="321"/>
      <c r="L82" s="321"/>
      <c r="M82" s="323"/>
      <c r="N82" s="323"/>
    </row>
    <row r="83" spans="1:14" s="749" customFormat="1" ht="12" customHeight="1">
      <c r="A83" s="318"/>
      <c r="B83" s="324"/>
      <c r="C83" s="320"/>
      <c r="D83" s="320"/>
      <c r="E83" s="320"/>
      <c r="F83" s="320"/>
      <c r="G83" s="739"/>
      <c r="H83" s="335"/>
      <c r="I83" s="335"/>
      <c r="K83" s="321"/>
      <c r="L83" s="321"/>
      <c r="M83" s="323"/>
      <c r="N83" s="323"/>
    </row>
    <row r="84" spans="1:14" s="749" customFormat="1" ht="12" customHeight="1">
      <c r="A84" s="318"/>
      <c r="B84" s="324"/>
      <c r="C84" s="320"/>
      <c r="D84" s="320"/>
      <c r="E84" s="320"/>
      <c r="F84" s="320"/>
      <c r="G84" s="739"/>
      <c r="H84" s="335"/>
      <c r="I84" s="335"/>
      <c r="K84" s="321"/>
      <c r="L84" s="321"/>
      <c r="M84" s="323"/>
      <c r="N84" s="323"/>
    </row>
    <row r="85" spans="1:14" s="749" customFormat="1" ht="12" customHeight="1">
      <c r="A85" s="318"/>
      <c r="B85" s="324"/>
      <c r="C85" s="320"/>
      <c r="D85" s="320"/>
      <c r="E85" s="320"/>
      <c r="F85" s="320"/>
      <c r="G85" s="739"/>
      <c r="H85" s="335"/>
      <c r="I85" s="335"/>
      <c r="K85" s="321"/>
      <c r="L85" s="321"/>
      <c r="M85" s="323"/>
      <c r="N85" s="323"/>
    </row>
    <row r="86" spans="1:14" s="749" customFormat="1" ht="12" customHeight="1">
      <c r="A86" s="318"/>
      <c r="B86" s="324"/>
      <c r="C86" s="320"/>
      <c r="D86" s="320"/>
      <c r="E86" s="320"/>
      <c r="F86" s="320"/>
      <c r="G86" s="739"/>
      <c r="H86" s="335"/>
      <c r="I86" s="335"/>
      <c r="K86" s="321"/>
      <c r="L86" s="321"/>
      <c r="M86" s="323"/>
      <c r="N86" s="323"/>
    </row>
    <row r="87" spans="1:14" s="749" customFormat="1" ht="12" customHeight="1">
      <c r="A87" s="318"/>
      <c r="B87" s="324"/>
      <c r="C87" s="320"/>
      <c r="D87" s="320"/>
      <c r="E87" s="320"/>
      <c r="F87" s="320"/>
      <c r="G87" s="739"/>
      <c r="H87" s="335"/>
      <c r="I87" s="335"/>
      <c r="K87" s="321"/>
      <c r="L87" s="321"/>
      <c r="M87" s="323"/>
      <c r="N87" s="323"/>
    </row>
    <row r="88" spans="1:14" s="749" customFormat="1" ht="12" customHeight="1">
      <c r="A88" s="318"/>
      <c r="B88" s="324"/>
      <c r="C88" s="320"/>
      <c r="D88" s="320"/>
      <c r="E88" s="320"/>
      <c r="F88" s="320"/>
      <c r="G88" s="739"/>
      <c r="H88" s="335"/>
      <c r="I88" s="335"/>
      <c r="K88" s="321"/>
      <c r="L88" s="321"/>
      <c r="M88" s="323"/>
      <c r="N88" s="323"/>
    </row>
    <row r="89" spans="1:14" s="749" customFormat="1" ht="12" customHeight="1">
      <c r="A89" s="318"/>
      <c r="B89" s="324"/>
      <c r="C89" s="320"/>
      <c r="D89" s="320"/>
      <c r="E89" s="320"/>
      <c r="F89" s="320"/>
      <c r="G89" s="739"/>
      <c r="H89" s="335"/>
      <c r="I89" s="335"/>
      <c r="K89" s="321"/>
      <c r="L89" s="321"/>
      <c r="M89" s="323"/>
      <c r="N89" s="323"/>
    </row>
    <row r="90" spans="1:14" s="749" customFormat="1" ht="12" customHeight="1">
      <c r="A90" s="318"/>
      <c r="B90" s="324"/>
      <c r="C90" s="320"/>
      <c r="D90" s="320"/>
      <c r="E90" s="320"/>
      <c r="F90" s="320"/>
      <c r="G90" s="739"/>
      <c r="H90" s="335"/>
      <c r="I90" s="335"/>
      <c r="K90" s="321"/>
      <c r="L90" s="321"/>
      <c r="M90" s="323"/>
      <c r="N90" s="323"/>
    </row>
    <row r="91" spans="1:14" s="749" customFormat="1" ht="12" customHeight="1">
      <c r="A91" s="318"/>
      <c r="B91" s="324"/>
      <c r="C91" s="320"/>
      <c r="D91" s="320"/>
      <c r="E91" s="320"/>
      <c r="F91" s="320"/>
      <c r="G91" s="739"/>
      <c r="H91" s="335"/>
      <c r="I91" s="335"/>
      <c r="K91" s="321"/>
      <c r="L91" s="321"/>
      <c r="M91" s="323"/>
      <c r="N91" s="323"/>
    </row>
    <row r="92" spans="1:14" s="749" customFormat="1" ht="12" customHeight="1">
      <c r="A92" s="318"/>
      <c r="B92" s="324"/>
      <c r="C92" s="320"/>
      <c r="D92" s="320"/>
      <c r="E92" s="320"/>
      <c r="F92" s="320"/>
      <c r="G92" s="739"/>
      <c r="H92" s="335"/>
      <c r="I92" s="335"/>
      <c r="K92" s="321"/>
      <c r="L92" s="321"/>
      <c r="M92" s="323"/>
      <c r="N92" s="323"/>
    </row>
    <row r="93" spans="1:14" s="749" customFormat="1" ht="12" customHeight="1">
      <c r="A93" s="318"/>
      <c r="B93" s="324"/>
      <c r="C93" s="320"/>
      <c r="D93" s="320"/>
      <c r="E93" s="320"/>
      <c r="F93" s="320"/>
      <c r="G93" s="739"/>
      <c r="H93" s="335"/>
      <c r="I93" s="335"/>
      <c r="K93" s="321"/>
      <c r="L93" s="321"/>
      <c r="M93" s="323"/>
      <c r="N93" s="323"/>
    </row>
    <row r="94" spans="1:14" s="749" customFormat="1" ht="12" customHeight="1">
      <c r="A94" s="318"/>
      <c r="B94" s="324"/>
      <c r="C94" s="320"/>
      <c r="D94" s="320"/>
      <c r="E94" s="320"/>
      <c r="F94" s="320"/>
      <c r="G94" s="739"/>
      <c r="H94" s="335"/>
      <c r="I94" s="335"/>
      <c r="K94" s="321"/>
      <c r="L94" s="321"/>
      <c r="M94" s="323"/>
      <c r="N94" s="323"/>
    </row>
    <row r="95" spans="1:14" s="749" customFormat="1" ht="12" customHeight="1">
      <c r="A95" s="318"/>
      <c r="B95" s="324"/>
      <c r="C95" s="320"/>
      <c r="D95" s="320"/>
      <c r="E95" s="320"/>
      <c r="F95" s="320"/>
      <c r="G95" s="739"/>
      <c r="H95" s="335"/>
      <c r="I95" s="335"/>
      <c r="K95" s="321"/>
      <c r="L95" s="321"/>
      <c r="M95" s="323"/>
      <c r="N95" s="323"/>
    </row>
    <row r="96" spans="1:14" s="749" customFormat="1" ht="12" customHeight="1">
      <c r="A96" s="318"/>
      <c r="B96" s="324"/>
      <c r="C96" s="320"/>
      <c r="D96" s="320"/>
      <c r="E96" s="320"/>
      <c r="F96" s="320"/>
      <c r="G96" s="739"/>
      <c r="H96" s="335"/>
      <c r="I96" s="335"/>
      <c r="K96" s="321"/>
      <c r="L96" s="321"/>
      <c r="M96" s="323"/>
      <c r="N96" s="323"/>
    </row>
    <row r="97" spans="1:14" s="749" customFormat="1" ht="12" customHeight="1">
      <c r="A97" s="318"/>
      <c r="B97" s="324"/>
      <c r="C97" s="320"/>
      <c r="D97" s="320"/>
      <c r="E97" s="320"/>
      <c r="F97" s="320"/>
      <c r="G97" s="739"/>
      <c r="H97" s="335"/>
      <c r="I97" s="335"/>
      <c r="K97" s="321"/>
      <c r="L97" s="321"/>
      <c r="M97" s="323"/>
      <c r="N97" s="323"/>
    </row>
    <row r="98" spans="1:14" s="749" customFormat="1" ht="12" customHeight="1">
      <c r="A98" s="318"/>
      <c r="B98" s="324"/>
      <c r="C98" s="320"/>
      <c r="D98" s="320"/>
      <c r="E98" s="320"/>
      <c r="F98" s="320"/>
      <c r="G98" s="739"/>
      <c r="H98" s="335"/>
      <c r="I98" s="335"/>
      <c r="K98" s="321"/>
      <c r="L98" s="321"/>
      <c r="M98" s="323"/>
      <c r="N98" s="323"/>
    </row>
    <row r="99" spans="1:14" s="749" customFormat="1" ht="12" customHeight="1">
      <c r="A99" s="318"/>
      <c r="B99" s="324"/>
      <c r="C99" s="320"/>
      <c r="D99" s="320"/>
      <c r="E99" s="320"/>
      <c r="F99" s="320"/>
      <c r="G99" s="739"/>
      <c r="H99" s="335"/>
      <c r="I99" s="335"/>
      <c r="K99" s="321"/>
      <c r="L99" s="321"/>
      <c r="M99" s="323"/>
      <c r="N99" s="323"/>
    </row>
    <row r="100" spans="1:14" s="749" customFormat="1" ht="12" customHeight="1">
      <c r="A100" s="318"/>
      <c r="B100" s="324"/>
      <c r="C100" s="320"/>
      <c r="D100" s="320"/>
      <c r="E100" s="320"/>
      <c r="F100" s="320"/>
      <c r="G100" s="739"/>
      <c r="H100" s="335"/>
      <c r="I100" s="335"/>
      <c r="K100" s="321"/>
      <c r="L100" s="321"/>
      <c r="M100" s="323"/>
      <c r="N100" s="323"/>
    </row>
    <row r="101" spans="1:14" s="749" customFormat="1" ht="12" customHeight="1">
      <c r="A101" s="318"/>
      <c r="B101" s="324"/>
      <c r="C101" s="320"/>
      <c r="D101" s="320"/>
      <c r="E101" s="320"/>
      <c r="F101" s="320"/>
      <c r="G101" s="739"/>
      <c r="H101" s="335"/>
      <c r="I101" s="335"/>
      <c r="K101" s="321"/>
      <c r="L101" s="321"/>
      <c r="M101" s="323"/>
      <c r="N101" s="323"/>
    </row>
    <row r="102" spans="1:14" s="749" customFormat="1" ht="12" customHeight="1">
      <c r="A102" s="318"/>
      <c r="B102" s="324"/>
      <c r="C102" s="320"/>
      <c r="D102" s="320"/>
      <c r="E102" s="320"/>
      <c r="F102" s="320"/>
      <c r="G102" s="739"/>
      <c r="H102" s="335"/>
      <c r="I102" s="335"/>
      <c r="K102" s="321"/>
      <c r="L102" s="321"/>
      <c r="M102" s="323"/>
      <c r="N102" s="323"/>
    </row>
    <row r="103" spans="1:14" s="749" customFormat="1" ht="12" customHeight="1">
      <c r="A103" s="318"/>
      <c r="B103" s="324"/>
      <c r="C103" s="320"/>
      <c r="D103" s="320"/>
      <c r="E103" s="320"/>
      <c r="F103" s="320"/>
      <c r="G103" s="739"/>
      <c r="H103" s="335"/>
      <c r="I103" s="335"/>
      <c r="K103" s="321"/>
      <c r="L103" s="321"/>
      <c r="M103" s="323"/>
      <c r="N103" s="323"/>
    </row>
    <row r="104" spans="1:14" s="749" customFormat="1" ht="12" customHeight="1">
      <c r="A104" s="318"/>
      <c r="B104" s="324"/>
      <c r="C104" s="320"/>
      <c r="D104" s="320"/>
      <c r="E104" s="320"/>
      <c r="F104" s="320"/>
      <c r="G104" s="739"/>
      <c r="H104" s="335"/>
      <c r="I104" s="335"/>
      <c r="K104" s="321"/>
      <c r="L104" s="321"/>
      <c r="M104" s="323"/>
      <c r="N104" s="323"/>
    </row>
    <row r="105" spans="1:14" s="749" customFormat="1" ht="12" customHeight="1">
      <c r="A105" s="318"/>
      <c r="B105" s="324"/>
      <c r="C105" s="320"/>
      <c r="D105" s="320"/>
      <c r="E105" s="320"/>
      <c r="F105" s="320"/>
      <c r="G105" s="739"/>
      <c r="H105" s="335"/>
      <c r="I105" s="335"/>
      <c r="K105" s="321"/>
      <c r="L105" s="321"/>
      <c r="M105" s="323"/>
      <c r="N105" s="323"/>
    </row>
    <row r="106" spans="1:14" s="749" customFormat="1" ht="12" customHeight="1">
      <c r="A106" s="318"/>
      <c r="B106" s="324"/>
      <c r="C106" s="320"/>
      <c r="D106" s="320"/>
      <c r="E106" s="320"/>
      <c r="F106" s="320"/>
      <c r="G106" s="739"/>
      <c r="H106" s="335"/>
      <c r="I106" s="335"/>
      <c r="K106" s="321"/>
      <c r="L106" s="321"/>
      <c r="M106" s="323"/>
      <c r="N106" s="323"/>
    </row>
    <row r="107" spans="1:14" s="749" customFormat="1" ht="12" customHeight="1">
      <c r="A107" s="318"/>
      <c r="B107" s="324"/>
      <c r="C107" s="320"/>
      <c r="D107" s="320"/>
      <c r="E107" s="320"/>
      <c r="F107" s="320"/>
      <c r="G107" s="739"/>
      <c r="H107" s="335"/>
      <c r="I107" s="335"/>
      <c r="K107" s="321"/>
      <c r="L107" s="321"/>
      <c r="M107" s="323"/>
      <c r="N107" s="323"/>
    </row>
    <row r="108" spans="1:14" s="749" customFormat="1" ht="12" customHeight="1">
      <c r="A108" s="318"/>
      <c r="B108" s="324"/>
      <c r="C108" s="320"/>
      <c r="D108" s="320"/>
      <c r="E108" s="320"/>
      <c r="F108" s="320"/>
      <c r="G108" s="739"/>
      <c r="H108" s="335"/>
      <c r="I108" s="335"/>
      <c r="K108" s="321"/>
      <c r="L108" s="321"/>
      <c r="M108" s="323"/>
      <c r="N108" s="323"/>
    </row>
    <row r="109" spans="1:14" s="749" customFormat="1" ht="12" customHeight="1">
      <c r="A109" s="318"/>
      <c r="B109" s="324"/>
      <c r="C109" s="320"/>
      <c r="D109" s="320"/>
      <c r="E109" s="320"/>
      <c r="F109" s="320"/>
      <c r="G109" s="739"/>
      <c r="H109" s="335"/>
      <c r="I109" s="335"/>
      <c r="K109" s="321"/>
      <c r="L109" s="321"/>
      <c r="M109" s="323"/>
      <c r="N109" s="323"/>
    </row>
    <row r="110" spans="1:14" s="749" customFormat="1" ht="12" customHeight="1">
      <c r="A110" s="318"/>
      <c r="B110" s="324"/>
      <c r="C110" s="320"/>
      <c r="D110" s="320"/>
      <c r="E110" s="320"/>
      <c r="F110" s="320"/>
      <c r="G110" s="739"/>
      <c r="H110" s="335"/>
      <c r="I110" s="335"/>
      <c r="K110" s="321"/>
      <c r="L110" s="321"/>
      <c r="M110" s="323"/>
      <c r="N110" s="323"/>
    </row>
    <row r="111" spans="1:14" s="749" customFormat="1" ht="12" customHeight="1">
      <c r="A111" s="318"/>
      <c r="B111" s="324"/>
      <c r="C111" s="320"/>
      <c r="D111" s="320"/>
      <c r="E111" s="320"/>
      <c r="F111" s="320"/>
      <c r="G111" s="739"/>
      <c r="H111" s="335"/>
      <c r="I111" s="335"/>
      <c r="K111" s="321"/>
      <c r="L111" s="321"/>
      <c r="M111" s="323"/>
      <c r="N111" s="323"/>
    </row>
    <row r="112" spans="1:14" s="749" customFormat="1" ht="12" customHeight="1">
      <c r="A112" s="318"/>
      <c r="B112" s="324"/>
      <c r="C112" s="320"/>
      <c r="D112" s="320"/>
      <c r="E112" s="320"/>
      <c r="F112" s="320"/>
      <c r="G112" s="739"/>
      <c r="H112" s="335"/>
      <c r="I112" s="335"/>
      <c r="K112" s="321"/>
      <c r="L112" s="321"/>
      <c r="M112" s="323"/>
      <c r="N112" s="323"/>
    </row>
    <row r="113" spans="1:14" s="749" customFormat="1" ht="12" customHeight="1">
      <c r="A113" s="318"/>
      <c r="B113" s="324"/>
      <c r="C113" s="320"/>
      <c r="D113" s="320"/>
      <c r="E113" s="320"/>
      <c r="F113" s="320"/>
      <c r="G113" s="739"/>
      <c r="H113" s="335"/>
      <c r="I113" s="335"/>
      <c r="K113" s="321"/>
      <c r="L113" s="321"/>
      <c r="M113" s="323"/>
      <c r="N113" s="323"/>
    </row>
    <row r="114" spans="1:14" s="749" customFormat="1" ht="12" customHeight="1">
      <c r="A114" s="318"/>
      <c r="B114" s="324"/>
      <c r="C114" s="320"/>
      <c r="D114" s="320"/>
      <c r="E114" s="320"/>
      <c r="F114" s="320"/>
      <c r="G114" s="739"/>
      <c r="H114" s="335"/>
      <c r="I114" s="335"/>
      <c r="K114" s="321"/>
      <c r="L114" s="321"/>
      <c r="M114" s="323"/>
      <c r="N114" s="323"/>
    </row>
    <row r="115" spans="1:14" s="749" customFormat="1" ht="12" customHeight="1">
      <c r="A115" s="318"/>
      <c r="B115" s="324"/>
      <c r="C115" s="320"/>
      <c r="D115" s="320"/>
      <c r="E115" s="320"/>
      <c r="F115" s="320"/>
      <c r="G115" s="739"/>
      <c r="H115" s="335"/>
      <c r="I115" s="335"/>
      <c r="K115" s="321"/>
      <c r="L115" s="321"/>
      <c r="M115" s="323"/>
      <c r="N115" s="323"/>
    </row>
    <row r="116" spans="1:14" s="749" customFormat="1" ht="12" customHeight="1">
      <c r="A116" s="318"/>
      <c r="B116" s="324"/>
      <c r="C116" s="320"/>
      <c r="D116" s="320"/>
      <c r="E116" s="320"/>
      <c r="F116" s="320"/>
      <c r="G116" s="739"/>
      <c r="H116" s="335"/>
      <c r="I116" s="335"/>
      <c r="K116" s="321"/>
      <c r="L116" s="321"/>
      <c r="M116" s="323"/>
      <c r="N116" s="323"/>
    </row>
    <row r="117" spans="1:14" s="749" customFormat="1" ht="12" customHeight="1">
      <c r="A117" s="318"/>
      <c r="B117" s="324"/>
      <c r="C117" s="320"/>
      <c r="D117" s="320"/>
      <c r="E117" s="320"/>
      <c r="F117" s="320"/>
      <c r="G117" s="739"/>
      <c r="H117" s="335"/>
      <c r="I117" s="335"/>
      <c r="K117" s="321"/>
      <c r="L117" s="321"/>
      <c r="M117" s="323"/>
      <c r="N117" s="323"/>
    </row>
    <row r="118" spans="1:14" s="749" customFormat="1" ht="12" customHeight="1">
      <c r="A118" s="318"/>
      <c r="B118" s="324"/>
      <c r="C118" s="320"/>
      <c r="D118" s="320"/>
      <c r="E118" s="320"/>
      <c r="F118" s="320"/>
      <c r="G118" s="739"/>
      <c r="H118" s="335"/>
      <c r="I118" s="335"/>
      <c r="K118" s="321"/>
      <c r="L118" s="321"/>
      <c r="M118" s="323"/>
      <c r="N118" s="323"/>
    </row>
    <row r="119" spans="1:14" s="749" customFormat="1" ht="12" customHeight="1">
      <c r="A119" s="318"/>
      <c r="B119" s="324"/>
      <c r="C119" s="320"/>
      <c r="D119" s="320"/>
      <c r="E119" s="320"/>
      <c r="F119" s="320"/>
      <c r="G119" s="739"/>
      <c r="H119" s="335"/>
      <c r="I119" s="335"/>
      <c r="K119" s="321"/>
      <c r="L119" s="321"/>
      <c r="M119" s="323"/>
      <c r="N119" s="323"/>
    </row>
    <row r="120" spans="1:14" s="749" customFormat="1" ht="12" customHeight="1">
      <c r="A120" s="318"/>
      <c r="B120" s="324"/>
      <c r="C120" s="320"/>
      <c r="D120" s="320"/>
      <c r="E120" s="320"/>
      <c r="F120" s="320"/>
      <c r="G120" s="739"/>
      <c r="H120" s="335"/>
      <c r="I120" s="335"/>
      <c r="K120" s="321"/>
      <c r="L120" s="321"/>
      <c r="M120" s="323"/>
      <c r="N120" s="323"/>
    </row>
    <row r="121" spans="1:14" s="749" customFormat="1" ht="12" customHeight="1">
      <c r="A121" s="318"/>
      <c r="B121" s="324"/>
      <c r="C121" s="320"/>
      <c r="D121" s="320"/>
      <c r="E121" s="320"/>
      <c r="F121" s="320"/>
      <c r="G121" s="739"/>
      <c r="H121" s="335"/>
      <c r="I121" s="335"/>
      <c r="K121" s="321"/>
      <c r="L121" s="321"/>
      <c r="M121" s="323"/>
      <c r="N121" s="323"/>
    </row>
    <row r="122" spans="1:14" s="749" customFormat="1" ht="12" customHeight="1">
      <c r="A122" s="318"/>
      <c r="B122" s="324"/>
      <c r="C122" s="320"/>
      <c r="D122" s="320"/>
      <c r="E122" s="320"/>
      <c r="F122" s="320"/>
      <c r="G122" s="739"/>
      <c r="H122" s="335"/>
      <c r="I122" s="335"/>
      <c r="K122" s="321"/>
      <c r="L122" s="321"/>
      <c r="M122" s="323"/>
      <c r="N122" s="323"/>
    </row>
    <row r="123" spans="1:14" s="749" customFormat="1" ht="12" customHeight="1">
      <c r="A123" s="318"/>
      <c r="B123" s="324"/>
      <c r="C123" s="320"/>
      <c r="D123" s="320"/>
      <c r="E123" s="320"/>
      <c r="F123" s="320"/>
      <c r="G123" s="739"/>
      <c r="H123" s="335"/>
      <c r="I123" s="335"/>
      <c r="K123" s="321"/>
      <c r="L123" s="321"/>
      <c r="M123" s="323"/>
      <c r="N123" s="323"/>
    </row>
    <row r="124" spans="1:14" s="749" customFormat="1" ht="12" customHeight="1">
      <c r="A124" s="318"/>
      <c r="B124" s="324"/>
      <c r="C124" s="320"/>
      <c r="D124" s="320"/>
      <c r="E124" s="320"/>
      <c r="F124" s="320"/>
      <c r="G124" s="739"/>
      <c r="H124" s="335"/>
      <c r="I124" s="335"/>
      <c r="K124" s="321"/>
      <c r="L124" s="321"/>
      <c r="M124" s="323"/>
      <c r="N124" s="323"/>
    </row>
    <row r="125" spans="1:14" s="749" customFormat="1" ht="12" customHeight="1">
      <c r="A125" s="318"/>
      <c r="B125" s="324"/>
      <c r="C125" s="320"/>
      <c r="D125" s="320"/>
      <c r="E125" s="320"/>
      <c r="F125" s="320"/>
      <c r="G125" s="739"/>
      <c r="H125" s="335"/>
      <c r="I125" s="335"/>
      <c r="K125" s="321"/>
      <c r="L125" s="321"/>
      <c r="M125" s="323"/>
      <c r="N125" s="323"/>
    </row>
    <row r="126" spans="1:14" s="749" customFormat="1" ht="12" customHeight="1">
      <c r="A126" s="318"/>
      <c r="B126" s="324"/>
      <c r="C126" s="320"/>
      <c r="D126" s="320"/>
      <c r="E126" s="320"/>
      <c r="F126" s="320"/>
      <c r="G126" s="739"/>
      <c r="H126" s="335"/>
      <c r="I126" s="335"/>
      <c r="K126" s="321"/>
      <c r="L126" s="321"/>
      <c r="M126" s="323"/>
      <c r="N126" s="323"/>
    </row>
    <row r="127" spans="1:14" s="749" customFormat="1" ht="12" customHeight="1">
      <c r="A127" s="318"/>
      <c r="B127" s="324"/>
      <c r="C127" s="320"/>
      <c r="D127" s="320"/>
      <c r="E127" s="320"/>
      <c r="F127" s="320"/>
      <c r="G127" s="739"/>
      <c r="H127" s="335"/>
      <c r="I127" s="335"/>
      <c r="K127" s="321"/>
      <c r="L127" s="321"/>
      <c r="M127" s="323"/>
      <c r="N127" s="323"/>
    </row>
    <row r="128" spans="1:14" s="749" customFormat="1" ht="12" customHeight="1">
      <c r="A128" s="318"/>
      <c r="B128" s="324"/>
      <c r="C128" s="320"/>
      <c r="D128" s="320"/>
      <c r="E128" s="320"/>
      <c r="F128" s="320"/>
      <c r="G128" s="739"/>
      <c r="H128" s="335"/>
      <c r="I128" s="335"/>
      <c r="K128" s="321"/>
      <c r="L128" s="321"/>
      <c r="M128" s="323"/>
      <c r="N128" s="323"/>
    </row>
    <row r="129" spans="1:14" s="749" customFormat="1" ht="12" customHeight="1">
      <c r="A129" s="318"/>
      <c r="B129" s="324"/>
      <c r="C129" s="320"/>
      <c r="D129" s="320"/>
      <c r="E129" s="320"/>
      <c r="F129" s="320"/>
      <c r="G129" s="739"/>
      <c r="H129" s="335"/>
      <c r="I129" s="335"/>
      <c r="K129" s="321"/>
      <c r="L129" s="321"/>
      <c r="M129" s="323"/>
      <c r="N129" s="323"/>
    </row>
    <row r="130" spans="1:14" s="749" customFormat="1" ht="12" customHeight="1">
      <c r="A130" s="318"/>
      <c r="B130" s="324"/>
      <c r="C130" s="320"/>
      <c r="D130" s="320"/>
      <c r="E130" s="320"/>
      <c r="F130" s="320"/>
      <c r="G130" s="739"/>
      <c r="H130" s="335"/>
      <c r="I130" s="335"/>
      <c r="K130" s="321"/>
      <c r="L130" s="321"/>
      <c r="M130" s="323"/>
      <c r="N130" s="323"/>
    </row>
    <row r="131" spans="1:14" s="749" customFormat="1" ht="12" customHeight="1">
      <c r="A131" s="318"/>
      <c r="B131" s="324"/>
      <c r="C131" s="320"/>
      <c r="D131" s="320"/>
      <c r="E131" s="320"/>
      <c r="F131" s="320"/>
      <c r="G131" s="739"/>
      <c r="H131" s="335"/>
      <c r="I131" s="335"/>
      <c r="K131" s="321"/>
      <c r="L131" s="321"/>
      <c r="M131" s="323"/>
      <c r="N131" s="323"/>
    </row>
    <row r="132" spans="1:14" s="749" customFormat="1" ht="12" customHeight="1">
      <c r="A132" s="318"/>
      <c r="B132" s="324"/>
      <c r="C132" s="320"/>
      <c r="D132" s="320"/>
      <c r="E132" s="320"/>
      <c r="F132" s="320"/>
      <c r="G132" s="739"/>
      <c r="H132" s="335"/>
      <c r="I132" s="335"/>
      <c r="K132" s="321"/>
      <c r="L132" s="321"/>
      <c r="M132" s="323"/>
      <c r="N132" s="323"/>
    </row>
    <row r="133" spans="1:14" s="749" customFormat="1" ht="12" customHeight="1">
      <c r="A133" s="318"/>
      <c r="B133" s="324"/>
      <c r="C133" s="320"/>
      <c r="D133" s="320"/>
      <c r="E133" s="320"/>
      <c r="F133" s="320"/>
      <c r="G133" s="739"/>
      <c r="H133" s="335"/>
      <c r="I133" s="335"/>
      <c r="K133" s="321"/>
      <c r="L133" s="321"/>
      <c r="M133" s="323"/>
      <c r="N133" s="323"/>
    </row>
    <row r="134" spans="1:14" s="749" customFormat="1" ht="12" customHeight="1">
      <c r="A134" s="318"/>
      <c r="B134" s="324"/>
      <c r="C134" s="320"/>
      <c r="D134" s="320"/>
      <c r="E134" s="320"/>
      <c r="F134" s="320"/>
      <c r="G134" s="739"/>
      <c r="H134" s="335"/>
      <c r="I134" s="335"/>
      <c r="K134" s="321"/>
      <c r="L134" s="321"/>
      <c r="M134" s="323"/>
      <c r="N134" s="323"/>
    </row>
    <row r="135" spans="1:14" s="749" customFormat="1" ht="12" customHeight="1">
      <c r="A135" s="318"/>
      <c r="B135" s="324"/>
      <c r="C135" s="320"/>
      <c r="D135" s="320"/>
      <c r="E135" s="320"/>
      <c r="F135" s="320"/>
      <c r="G135" s="739"/>
      <c r="H135" s="335"/>
      <c r="I135" s="335"/>
      <c r="K135" s="321"/>
      <c r="L135" s="321"/>
      <c r="M135" s="323"/>
      <c r="N135" s="323"/>
    </row>
    <row r="136" spans="1:14" s="749" customFormat="1" ht="12" customHeight="1">
      <c r="A136" s="318"/>
      <c r="B136" s="324"/>
      <c r="C136" s="320"/>
      <c r="D136" s="320"/>
      <c r="E136" s="320"/>
      <c r="F136" s="320"/>
      <c r="G136" s="739"/>
      <c r="H136" s="335"/>
      <c r="I136" s="335"/>
      <c r="K136" s="321"/>
      <c r="L136" s="321"/>
      <c r="M136" s="323"/>
      <c r="N136" s="323"/>
    </row>
    <row r="137" spans="1:14" s="749" customFormat="1" ht="12" customHeight="1">
      <c r="A137" s="318"/>
      <c r="B137" s="324"/>
      <c r="C137" s="320"/>
      <c r="D137" s="320"/>
      <c r="E137" s="320"/>
      <c r="F137" s="320"/>
      <c r="G137" s="739"/>
      <c r="H137" s="335"/>
      <c r="I137" s="335"/>
      <c r="K137" s="321"/>
      <c r="L137" s="321"/>
      <c r="M137" s="323"/>
      <c r="N137" s="323"/>
    </row>
    <row r="138" spans="1:14" s="749" customFormat="1" ht="12" customHeight="1">
      <c r="A138" s="318"/>
      <c r="B138" s="324"/>
      <c r="C138" s="324"/>
      <c r="D138" s="324"/>
      <c r="E138" s="320"/>
      <c r="F138" s="324"/>
      <c r="G138" s="737"/>
      <c r="H138" s="336"/>
      <c r="I138" s="336"/>
      <c r="K138" s="321"/>
      <c r="L138" s="321"/>
      <c r="M138" s="323"/>
      <c r="N138" s="323"/>
    </row>
  </sheetData>
  <mergeCells count="7">
    <mergeCell ref="A23:J23"/>
    <mergeCell ref="A5:J5"/>
    <mergeCell ref="A8:J8"/>
    <mergeCell ref="A11:J11"/>
    <mergeCell ref="A14:J14"/>
    <mergeCell ref="A17:J17"/>
    <mergeCell ref="A20:J20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83" fitToHeight="3" orientation="landscape" r:id="rId1"/>
  <headerFooter alignWithMargins="0"/>
  <legacy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35"/>
  <sheetViews>
    <sheetView view="pageBreakPreview" zoomScale="85" zoomScaleNormal="115" workbookViewId="0">
      <selection sqref="A1:XFD1048576"/>
    </sheetView>
  </sheetViews>
  <sheetFormatPr defaultRowHeight="12" customHeight="1"/>
  <cols>
    <col min="1" max="1" width="8.5546875" style="318" customWidth="1"/>
    <col min="2" max="3" width="6.77734375" style="324" customWidth="1"/>
    <col min="4" max="4" width="19.6640625" style="324" customWidth="1"/>
    <col min="5" max="5" width="37" style="324" customWidth="1"/>
    <col min="6" max="6" width="12.5546875" style="324" customWidth="1"/>
    <col min="7" max="7" width="5.33203125" style="737" customWidth="1"/>
    <col min="8" max="8" width="10.5546875" style="336" customWidth="1"/>
    <col min="9" max="9" width="8.88671875" style="336"/>
    <col min="10" max="10" width="9" style="749" customWidth="1"/>
    <col min="11" max="11" width="9" style="500" customWidth="1"/>
    <col min="12" max="12" width="6.44140625" style="321" customWidth="1"/>
    <col min="13" max="258" width="8.88671875" style="323"/>
    <col min="259" max="259" width="8.5546875" style="323" customWidth="1"/>
    <col min="260" max="260" width="4.109375" style="323" customWidth="1"/>
    <col min="261" max="261" width="19.6640625" style="323" customWidth="1"/>
    <col min="262" max="262" width="37" style="323" customWidth="1"/>
    <col min="263" max="263" width="12.5546875" style="323" customWidth="1"/>
    <col min="264" max="264" width="5.33203125" style="323" customWidth="1"/>
    <col min="265" max="265" width="10.5546875" style="323" customWidth="1"/>
    <col min="266" max="266" width="8.88671875" style="323"/>
    <col min="267" max="267" width="9" style="323" customWidth="1"/>
    <col min="268" max="268" width="6.44140625" style="323" customWidth="1"/>
    <col min="269" max="514" width="8.88671875" style="323"/>
    <col min="515" max="515" width="8.5546875" style="323" customWidth="1"/>
    <col min="516" max="516" width="4.109375" style="323" customWidth="1"/>
    <col min="517" max="517" width="19.6640625" style="323" customWidth="1"/>
    <col min="518" max="518" width="37" style="323" customWidth="1"/>
    <col min="519" max="519" width="12.5546875" style="323" customWidth="1"/>
    <col min="520" max="520" width="5.33203125" style="323" customWidth="1"/>
    <col min="521" max="521" width="10.5546875" style="323" customWidth="1"/>
    <col min="522" max="522" width="8.88671875" style="323"/>
    <col min="523" max="523" width="9" style="323" customWidth="1"/>
    <col min="524" max="524" width="6.44140625" style="323" customWidth="1"/>
    <col min="525" max="770" width="8.88671875" style="323"/>
    <col min="771" max="771" width="8.5546875" style="323" customWidth="1"/>
    <col min="772" max="772" width="4.109375" style="323" customWidth="1"/>
    <col min="773" max="773" width="19.6640625" style="323" customWidth="1"/>
    <col min="774" max="774" width="37" style="323" customWidth="1"/>
    <col min="775" max="775" width="12.5546875" style="323" customWidth="1"/>
    <col min="776" max="776" width="5.33203125" style="323" customWidth="1"/>
    <col min="777" max="777" width="10.5546875" style="323" customWidth="1"/>
    <col min="778" max="778" width="8.88671875" style="323"/>
    <col min="779" max="779" width="9" style="323" customWidth="1"/>
    <col min="780" max="780" width="6.44140625" style="323" customWidth="1"/>
    <col min="781" max="1026" width="8.88671875" style="323"/>
    <col min="1027" max="1027" width="8.5546875" style="323" customWidth="1"/>
    <col min="1028" max="1028" width="4.109375" style="323" customWidth="1"/>
    <col min="1029" max="1029" width="19.6640625" style="323" customWidth="1"/>
    <col min="1030" max="1030" width="37" style="323" customWidth="1"/>
    <col min="1031" max="1031" width="12.5546875" style="323" customWidth="1"/>
    <col min="1032" max="1032" width="5.33203125" style="323" customWidth="1"/>
    <col min="1033" max="1033" width="10.5546875" style="323" customWidth="1"/>
    <col min="1034" max="1034" width="8.88671875" style="323"/>
    <col min="1035" max="1035" width="9" style="323" customWidth="1"/>
    <col min="1036" max="1036" width="6.44140625" style="323" customWidth="1"/>
    <col min="1037" max="1282" width="8.88671875" style="323"/>
    <col min="1283" max="1283" width="8.5546875" style="323" customWidth="1"/>
    <col min="1284" max="1284" width="4.109375" style="323" customWidth="1"/>
    <col min="1285" max="1285" width="19.6640625" style="323" customWidth="1"/>
    <col min="1286" max="1286" width="37" style="323" customWidth="1"/>
    <col min="1287" max="1287" width="12.5546875" style="323" customWidth="1"/>
    <col min="1288" max="1288" width="5.33203125" style="323" customWidth="1"/>
    <col min="1289" max="1289" width="10.5546875" style="323" customWidth="1"/>
    <col min="1290" max="1290" width="8.88671875" style="323"/>
    <col min="1291" max="1291" width="9" style="323" customWidth="1"/>
    <col min="1292" max="1292" width="6.44140625" style="323" customWidth="1"/>
    <col min="1293" max="1538" width="8.88671875" style="323"/>
    <col min="1539" max="1539" width="8.5546875" style="323" customWidth="1"/>
    <col min="1540" max="1540" width="4.109375" style="323" customWidth="1"/>
    <col min="1541" max="1541" width="19.6640625" style="323" customWidth="1"/>
    <col min="1542" max="1542" width="37" style="323" customWidth="1"/>
    <col min="1543" max="1543" width="12.5546875" style="323" customWidth="1"/>
    <col min="1544" max="1544" width="5.33203125" style="323" customWidth="1"/>
    <col min="1545" max="1545" width="10.5546875" style="323" customWidth="1"/>
    <col min="1546" max="1546" width="8.88671875" style="323"/>
    <col min="1547" max="1547" width="9" style="323" customWidth="1"/>
    <col min="1548" max="1548" width="6.44140625" style="323" customWidth="1"/>
    <col min="1549" max="1794" width="8.88671875" style="323"/>
    <col min="1795" max="1795" width="8.5546875" style="323" customWidth="1"/>
    <col min="1796" max="1796" width="4.109375" style="323" customWidth="1"/>
    <col min="1797" max="1797" width="19.6640625" style="323" customWidth="1"/>
    <col min="1798" max="1798" width="37" style="323" customWidth="1"/>
    <col min="1799" max="1799" width="12.5546875" style="323" customWidth="1"/>
    <col min="1800" max="1800" width="5.33203125" style="323" customWidth="1"/>
    <col min="1801" max="1801" width="10.5546875" style="323" customWidth="1"/>
    <col min="1802" max="1802" width="8.88671875" style="323"/>
    <col min="1803" max="1803" width="9" style="323" customWidth="1"/>
    <col min="1804" max="1804" width="6.44140625" style="323" customWidth="1"/>
    <col min="1805" max="2050" width="8.88671875" style="323"/>
    <col min="2051" max="2051" width="8.5546875" style="323" customWidth="1"/>
    <col min="2052" max="2052" width="4.109375" style="323" customWidth="1"/>
    <col min="2053" max="2053" width="19.6640625" style="323" customWidth="1"/>
    <col min="2054" max="2054" width="37" style="323" customWidth="1"/>
    <col min="2055" max="2055" width="12.5546875" style="323" customWidth="1"/>
    <col min="2056" max="2056" width="5.33203125" style="323" customWidth="1"/>
    <col min="2057" max="2057" width="10.5546875" style="323" customWidth="1"/>
    <col min="2058" max="2058" width="8.88671875" style="323"/>
    <col min="2059" max="2059" width="9" style="323" customWidth="1"/>
    <col min="2060" max="2060" width="6.44140625" style="323" customWidth="1"/>
    <col min="2061" max="2306" width="8.88671875" style="323"/>
    <col min="2307" max="2307" width="8.5546875" style="323" customWidth="1"/>
    <col min="2308" max="2308" width="4.109375" style="323" customWidth="1"/>
    <col min="2309" max="2309" width="19.6640625" style="323" customWidth="1"/>
    <col min="2310" max="2310" width="37" style="323" customWidth="1"/>
    <col min="2311" max="2311" width="12.5546875" style="323" customWidth="1"/>
    <col min="2312" max="2312" width="5.33203125" style="323" customWidth="1"/>
    <col min="2313" max="2313" width="10.5546875" style="323" customWidth="1"/>
    <col min="2314" max="2314" width="8.88671875" style="323"/>
    <col min="2315" max="2315" width="9" style="323" customWidth="1"/>
    <col min="2316" max="2316" width="6.44140625" style="323" customWidth="1"/>
    <col min="2317" max="2562" width="8.88671875" style="323"/>
    <col min="2563" max="2563" width="8.5546875" style="323" customWidth="1"/>
    <col min="2564" max="2564" width="4.109375" style="323" customWidth="1"/>
    <col min="2565" max="2565" width="19.6640625" style="323" customWidth="1"/>
    <col min="2566" max="2566" width="37" style="323" customWidth="1"/>
    <col min="2567" max="2567" width="12.5546875" style="323" customWidth="1"/>
    <col min="2568" max="2568" width="5.33203125" style="323" customWidth="1"/>
    <col min="2569" max="2569" width="10.5546875" style="323" customWidth="1"/>
    <col min="2570" max="2570" width="8.88671875" style="323"/>
    <col min="2571" max="2571" width="9" style="323" customWidth="1"/>
    <col min="2572" max="2572" width="6.44140625" style="323" customWidth="1"/>
    <col min="2573" max="2818" width="8.88671875" style="323"/>
    <col min="2819" max="2819" width="8.5546875" style="323" customWidth="1"/>
    <col min="2820" max="2820" width="4.109375" style="323" customWidth="1"/>
    <col min="2821" max="2821" width="19.6640625" style="323" customWidth="1"/>
    <col min="2822" max="2822" width="37" style="323" customWidth="1"/>
    <col min="2823" max="2823" width="12.5546875" style="323" customWidth="1"/>
    <col min="2824" max="2824" width="5.33203125" style="323" customWidth="1"/>
    <col min="2825" max="2825" width="10.5546875" style="323" customWidth="1"/>
    <col min="2826" max="2826" width="8.88671875" style="323"/>
    <col min="2827" max="2827" width="9" style="323" customWidth="1"/>
    <col min="2828" max="2828" width="6.44140625" style="323" customWidth="1"/>
    <col min="2829" max="3074" width="8.88671875" style="323"/>
    <col min="3075" max="3075" width="8.5546875" style="323" customWidth="1"/>
    <col min="3076" max="3076" width="4.109375" style="323" customWidth="1"/>
    <col min="3077" max="3077" width="19.6640625" style="323" customWidth="1"/>
    <col min="3078" max="3078" width="37" style="323" customWidth="1"/>
    <col min="3079" max="3079" width="12.5546875" style="323" customWidth="1"/>
    <col min="3080" max="3080" width="5.33203125" style="323" customWidth="1"/>
    <col min="3081" max="3081" width="10.5546875" style="323" customWidth="1"/>
    <col min="3082" max="3082" width="8.88671875" style="323"/>
    <col min="3083" max="3083" width="9" style="323" customWidth="1"/>
    <col min="3084" max="3084" width="6.44140625" style="323" customWidth="1"/>
    <col min="3085" max="3330" width="8.88671875" style="323"/>
    <col min="3331" max="3331" width="8.5546875" style="323" customWidth="1"/>
    <col min="3332" max="3332" width="4.109375" style="323" customWidth="1"/>
    <col min="3333" max="3333" width="19.6640625" style="323" customWidth="1"/>
    <col min="3334" max="3334" width="37" style="323" customWidth="1"/>
    <col min="3335" max="3335" width="12.5546875" style="323" customWidth="1"/>
    <col min="3336" max="3336" width="5.33203125" style="323" customWidth="1"/>
    <col min="3337" max="3337" width="10.5546875" style="323" customWidth="1"/>
    <col min="3338" max="3338" width="8.88671875" style="323"/>
    <col min="3339" max="3339" width="9" style="323" customWidth="1"/>
    <col min="3340" max="3340" width="6.44140625" style="323" customWidth="1"/>
    <col min="3341" max="3586" width="8.88671875" style="323"/>
    <col min="3587" max="3587" width="8.5546875" style="323" customWidth="1"/>
    <col min="3588" max="3588" width="4.109375" style="323" customWidth="1"/>
    <col min="3589" max="3589" width="19.6640625" style="323" customWidth="1"/>
    <col min="3590" max="3590" width="37" style="323" customWidth="1"/>
    <col min="3591" max="3591" width="12.5546875" style="323" customWidth="1"/>
    <col min="3592" max="3592" width="5.33203125" style="323" customWidth="1"/>
    <col min="3593" max="3593" width="10.5546875" style="323" customWidth="1"/>
    <col min="3594" max="3594" width="8.88671875" style="323"/>
    <col min="3595" max="3595" width="9" style="323" customWidth="1"/>
    <col min="3596" max="3596" width="6.44140625" style="323" customWidth="1"/>
    <col min="3597" max="3842" width="8.88671875" style="323"/>
    <col min="3843" max="3843" width="8.5546875" style="323" customWidth="1"/>
    <col min="3844" max="3844" width="4.109375" style="323" customWidth="1"/>
    <col min="3845" max="3845" width="19.6640625" style="323" customWidth="1"/>
    <col min="3846" max="3846" width="37" style="323" customWidth="1"/>
    <col min="3847" max="3847" width="12.5546875" style="323" customWidth="1"/>
    <col min="3848" max="3848" width="5.33203125" style="323" customWidth="1"/>
    <col min="3849" max="3849" width="10.5546875" style="323" customWidth="1"/>
    <col min="3850" max="3850" width="8.88671875" style="323"/>
    <col min="3851" max="3851" width="9" style="323" customWidth="1"/>
    <col min="3852" max="3852" width="6.44140625" style="323" customWidth="1"/>
    <col min="3853" max="4098" width="8.88671875" style="323"/>
    <col min="4099" max="4099" width="8.5546875" style="323" customWidth="1"/>
    <col min="4100" max="4100" width="4.109375" style="323" customWidth="1"/>
    <col min="4101" max="4101" width="19.6640625" style="323" customWidth="1"/>
    <col min="4102" max="4102" width="37" style="323" customWidth="1"/>
    <col min="4103" max="4103" width="12.5546875" style="323" customWidth="1"/>
    <col min="4104" max="4104" width="5.33203125" style="323" customWidth="1"/>
    <col min="4105" max="4105" width="10.5546875" style="323" customWidth="1"/>
    <col min="4106" max="4106" width="8.88671875" style="323"/>
    <col min="4107" max="4107" width="9" style="323" customWidth="1"/>
    <col min="4108" max="4108" width="6.44140625" style="323" customWidth="1"/>
    <col min="4109" max="4354" width="8.88671875" style="323"/>
    <col min="4355" max="4355" width="8.5546875" style="323" customWidth="1"/>
    <col min="4356" max="4356" width="4.109375" style="323" customWidth="1"/>
    <col min="4357" max="4357" width="19.6640625" style="323" customWidth="1"/>
    <col min="4358" max="4358" width="37" style="323" customWidth="1"/>
    <col min="4359" max="4359" width="12.5546875" style="323" customWidth="1"/>
    <col min="4360" max="4360" width="5.33203125" style="323" customWidth="1"/>
    <col min="4361" max="4361" width="10.5546875" style="323" customWidth="1"/>
    <col min="4362" max="4362" width="8.88671875" style="323"/>
    <col min="4363" max="4363" width="9" style="323" customWidth="1"/>
    <col min="4364" max="4364" width="6.44140625" style="323" customWidth="1"/>
    <col min="4365" max="4610" width="8.88671875" style="323"/>
    <col min="4611" max="4611" width="8.5546875" style="323" customWidth="1"/>
    <col min="4612" max="4612" width="4.109375" style="323" customWidth="1"/>
    <col min="4613" max="4613" width="19.6640625" style="323" customWidth="1"/>
    <col min="4614" max="4614" width="37" style="323" customWidth="1"/>
    <col min="4615" max="4615" width="12.5546875" style="323" customWidth="1"/>
    <col min="4616" max="4616" width="5.33203125" style="323" customWidth="1"/>
    <col min="4617" max="4617" width="10.5546875" style="323" customWidth="1"/>
    <col min="4618" max="4618" width="8.88671875" style="323"/>
    <col min="4619" max="4619" width="9" style="323" customWidth="1"/>
    <col min="4620" max="4620" width="6.44140625" style="323" customWidth="1"/>
    <col min="4621" max="4866" width="8.88671875" style="323"/>
    <col min="4867" max="4867" width="8.5546875" style="323" customWidth="1"/>
    <col min="4868" max="4868" width="4.109375" style="323" customWidth="1"/>
    <col min="4869" max="4869" width="19.6640625" style="323" customWidth="1"/>
    <col min="4870" max="4870" width="37" style="323" customWidth="1"/>
    <col min="4871" max="4871" width="12.5546875" style="323" customWidth="1"/>
    <col min="4872" max="4872" width="5.33203125" style="323" customWidth="1"/>
    <col min="4873" max="4873" width="10.5546875" style="323" customWidth="1"/>
    <col min="4874" max="4874" width="8.88671875" style="323"/>
    <col min="4875" max="4875" width="9" style="323" customWidth="1"/>
    <col min="4876" max="4876" width="6.44140625" style="323" customWidth="1"/>
    <col min="4877" max="5122" width="8.88671875" style="323"/>
    <col min="5123" max="5123" width="8.5546875" style="323" customWidth="1"/>
    <col min="5124" max="5124" width="4.109375" style="323" customWidth="1"/>
    <col min="5125" max="5125" width="19.6640625" style="323" customWidth="1"/>
    <col min="5126" max="5126" width="37" style="323" customWidth="1"/>
    <col min="5127" max="5127" width="12.5546875" style="323" customWidth="1"/>
    <col min="5128" max="5128" width="5.33203125" style="323" customWidth="1"/>
    <col min="5129" max="5129" width="10.5546875" style="323" customWidth="1"/>
    <col min="5130" max="5130" width="8.88671875" style="323"/>
    <col min="5131" max="5131" width="9" style="323" customWidth="1"/>
    <col min="5132" max="5132" width="6.44140625" style="323" customWidth="1"/>
    <col min="5133" max="5378" width="8.88671875" style="323"/>
    <col min="5379" max="5379" width="8.5546875" style="323" customWidth="1"/>
    <col min="5380" max="5380" width="4.109375" style="323" customWidth="1"/>
    <col min="5381" max="5381" width="19.6640625" style="323" customWidth="1"/>
    <col min="5382" max="5382" width="37" style="323" customWidth="1"/>
    <col min="5383" max="5383" width="12.5546875" style="323" customWidth="1"/>
    <col min="5384" max="5384" width="5.33203125" style="323" customWidth="1"/>
    <col min="5385" max="5385" width="10.5546875" style="323" customWidth="1"/>
    <col min="5386" max="5386" width="8.88671875" style="323"/>
    <col min="5387" max="5387" width="9" style="323" customWidth="1"/>
    <col min="5388" max="5388" width="6.44140625" style="323" customWidth="1"/>
    <col min="5389" max="5634" width="8.88671875" style="323"/>
    <col min="5635" max="5635" width="8.5546875" style="323" customWidth="1"/>
    <col min="5636" max="5636" width="4.109375" style="323" customWidth="1"/>
    <col min="5637" max="5637" width="19.6640625" style="323" customWidth="1"/>
    <col min="5638" max="5638" width="37" style="323" customWidth="1"/>
    <col min="5639" max="5639" width="12.5546875" style="323" customWidth="1"/>
    <col min="5640" max="5640" width="5.33203125" style="323" customWidth="1"/>
    <col min="5641" max="5641" width="10.5546875" style="323" customWidth="1"/>
    <col min="5642" max="5642" width="8.88671875" style="323"/>
    <col min="5643" max="5643" width="9" style="323" customWidth="1"/>
    <col min="5644" max="5644" width="6.44140625" style="323" customWidth="1"/>
    <col min="5645" max="5890" width="8.88671875" style="323"/>
    <col min="5891" max="5891" width="8.5546875" style="323" customWidth="1"/>
    <col min="5892" max="5892" width="4.109375" style="323" customWidth="1"/>
    <col min="5893" max="5893" width="19.6640625" style="323" customWidth="1"/>
    <col min="5894" max="5894" width="37" style="323" customWidth="1"/>
    <col min="5895" max="5895" width="12.5546875" style="323" customWidth="1"/>
    <col min="5896" max="5896" width="5.33203125" style="323" customWidth="1"/>
    <col min="5897" max="5897" width="10.5546875" style="323" customWidth="1"/>
    <col min="5898" max="5898" width="8.88671875" style="323"/>
    <col min="5899" max="5899" width="9" style="323" customWidth="1"/>
    <col min="5900" max="5900" width="6.44140625" style="323" customWidth="1"/>
    <col min="5901" max="6146" width="8.88671875" style="323"/>
    <col min="6147" max="6147" width="8.5546875" style="323" customWidth="1"/>
    <col min="6148" max="6148" width="4.109375" style="323" customWidth="1"/>
    <col min="6149" max="6149" width="19.6640625" style="323" customWidth="1"/>
    <col min="6150" max="6150" width="37" style="323" customWidth="1"/>
    <col min="6151" max="6151" width="12.5546875" style="323" customWidth="1"/>
    <col min="6152" max="6152" width="5.33203125" style="323" customWidth="1"/>
    <col min="6153" max="6153" width="10.5546875" style="323" customWidth="1"/>
    <col min="6154" max="6154" width="8.88671875" style="323"/>
    <col min="6155" max="6155" width="9" style="323" customWidth="1"/>
    <col min="6156" max="6156" width="6.44140625" style="323" customWidth="1"/>
    <col min="6157" max="6402" width="8.88671875" style="323"/>
    <col min="6403" max="6403" width="8.5546875" style="323" customWidth="1"/>
    <col min="6404" max="6404" width="4.109375" style="323" customWidth="1"/>
    <col min="6405" max="6405" width="19.6640625" style="323" customWidth="1"/>
    <col min="6406" max="6406" width="37" style="323" customWidth="1"/>
    <col min="6407" max="6407" width="12.5546875" style="323" customWidth="1"/>
    <col min="6408" max="6408" width="5.33203125" style="323" customWidth="1"/>
    <col min="6409" max="6409" width="10.5546875" style="323" customWidth="1"/>
    <col min="6410" max="6410" width="8.88671875" style="323"/>
    <col min="6411" max="6411" width="9" style="323" customWidth="1"/>
    <col min="6412" max="6412" width="6.44140625" style="323" customWidth="1"/>
    <col min="6413" max="6658" width="8.88671875" style="323"/>
    <col min="6659" max="6659" width="8.5546875" style="323" customWidth="1"/>
    <col min="6660" max="6660" width="4.109375" style="323" customWidth="1"/>
    <col min="6661" max="6661" width="19.6640625" style="323" customWidth="1"/>
    <col min="6662" max="6662" width="37" style="323" customWidth="1"/>
    <col min="6663" max="6663" width="12.5546875" style="323" customWidth="1"/>
    <col min="6664" max="6664" width="5.33203125" style="323" customWidth="1"/>
    <col min="6665" max="6665" width="10.5546875" style="323" customWidth="1"/>
    <col min="6666" max="6666" width="8.88671875" style="323"/>
    <col min="6667" max="6667" width="9" style="323" customWidth="1"/>
    <col min="6668" max="6668" width="6.44140625" style="323" customWidth="1"/>
    <col min="6669" max="6914" width="8.88671875" style="323"/>
    <col min="6915" max="6915" width="8.5546875" style="323" customWidth="1"/>
    <col min="6916" max="6916" width="4.109375" style="323" customWidth="1"/>
    <col min="6917" max="6917" width="19.6640625" style="323" customWidth="1"/>
    <col min="6918" max="6918" width="37" style="323" customWidth="1"/>
    <col min="6919" max="6919" width="12.5546875" style="323" customWidth="1"/>
    <col min="6920" max="6920" width="5.33203125" style="323" customWidth="1"/>
    <col min="6921" max="6921" width="10.5546875" style="323" customWidth="1"/>
    <col min="6922" max="6922" width="8.88671875" style="323"/>
    <col min="6923" max="6923" width="9" style="323" customWidth="1"/>
    <col min="6924" max="6924" width="6.44140625" style="323" customWidth="1"/>
    <col min="6925" max="7170" width="8.88671875" style="323"/>
    <col min="7171" max="7171" width="8.5546875" style="323" customWidth="1"/>
    <col min="7172" max="7172" width="4.109375" style="323" customWidth="1"/>
    <col min="7173" max="7173" width="19.6640625" style="323" customWidth="1"/>
    <col min="7174" max="7174" width="37" style="323" customWidth="1"/>
    <col min="7175" max="7175" width="12.5546875" style="323" customWidth="1"/>
    <col min="7176" max="7176" width="5.33203125" style="323" customWidth="1"/>
    <col min="7177" max="7177" width="10.5546875" style="323" customWidth="1"/>
    <col min="7178" max="7178" width="8.88671875" style="323"/>
    <col min="7179" max="7179" width="9" style="323" customWidth="1"/>
    <col min="7180" max="7180" width="6.44140625" style="323" customWidth="1"/>
    <col min="7181" max="7426" width="8.88671875" style="323"/>
    <col min="7427" max="7427" width="8.5546875" style="323" customWidth="1"/>
    <col min="7428" max="7428" width="4.109375" style="323" customWidth="1"/>
    <col min="7429" max="7429" width="19.6640625" style="323" customWidth="1"/>
    <col min="7430" max="7430" width="37" style="323" customWidth="1"/>
    <col min="7431" max="7431" width="12.5546875" style="323" customWidth="1"/>
    <col min="7432" max="7432" width="5.33203125" style="323" customWidth="1"/>
    <col min="7433" max="7433" width="10.5546875" style="323" customWidth="1"/>
    <col min="7434" max="7434" width="8.88671875" style="323"/>
    <col min="7435" max="7435" width="9" style="323" customWidth="1"/>
    <col min="7436" max="7436" width="6.44140625" style="323" customWidth="1"/>
    <col min="7437" max="7682" width="8.88671875" style="323"/>
    <col min="7683" max="7683" width="8.5546875" style="323" customWidth="1"/>
    <col min="7684" max="7684" width="4.109375" style="323" customWidth="1"/>
    <col min="7685" max="7685" width="19.6640625" style="323" customWidth="1"/>
    <col min="7686" max="7686" width="37" style="323" customWidth="1"/>
    <col min="7687" max="7687" width="12.5546875" style="323" customWidth="1"/>
    <col min="7688" max="7688" width="5.33203125" style="323" customWidth="1"/>
    <col min="7689" max="7689" width="10.5546875" style="323" customWidth="1"/>
    <col min="7690" max="7690" width="8.88671875" style="323"/>
    <col min="7691" max="7691" width="9" style="323" customWidth="1"/>
    <col min="7692" max="7692" width="6.44140625" style="323" customWidth="1"/>
    <col min="7693" max="7938" width="8.88671875" style="323"/>
    <col min="7939" max="7939" width="8.5546875" style="323" customWidth="1"/>
    <col min="7940" max="7940" width="4.109375" style="323" customWidth="1"/>
    <col min="7941" max="7941" width="19.6640625" style="323" customWidth="1"/>
    <col min="7942" max="7942" width="37" style="323" customWidth="1"/>
    <col min="7943" max="7943" width="12.5546875" style="323" customWidth="1"/>
    <col min="7944" max="7944" width="5.33203125" style="323" customWidth="1"/>
    <col min="7945" max="7945" width="10.5546875" style="323" customWidth="1"/>
    <col min="7946" max="7946" width="8.88671875" style="323"/>
    <col min="7947" max="7947" width="9" style="323" customWidth="1"/>
    <col min="7948" max="7948" width="6.44140625" style="323" customWidth="1"/>
    <col min="7949" max="8194" width="8.88671875" style="323"/>
    <col min="8195" max="8195" width="8.5546875" style="323" customWidth="1"/>
    <col min="8196" max="8196" width="4.109375" style="323" customWidth="1"/>
    <col min="8197" max="8197" width="19.6640625" style="323" customWidth="1"/>
    <col min="8198" max="8198" width="37" style="323" customWidth="1"/>
    <col min="8199" max="8199" width="12.5546875" style="323" customWidth="1"/>
    <col min="8200" max="8200" width="5.33203125" style="323" customWidth="1"/>
    <col min="8201" max="8201" width="10.5546875" style="323" customWidth="1"/>
    <col min="8202" max="8202" width="8.88671875" style="323"/>
    <col min="8203" max="8203" width="9" style="323" customWidth="1"/>
    <col min="8204" max="8204" width="6.44140625" style="323" customWidth="1"/>
    <col min="8205" max="8450" width="8.88671875" style="323"/>
    <col min="8451" max="8451" width="8.5546875" style="323" customWidth="1"/>
    <col min="8452" max="8452" width="4.109375" style="323" customWidth="1"/>
    <col min="8453" max="8453" width="19.6640625" style="323" customWidth="1"/>
    <col min="8454" max="8454" width="37" style="323" customWidth="1"/>
    <col min="8455" max="8455" width="12.5546875" style="323" customWidth="1"/>
    <col min="8456" max="8456" width="5.33203125" style="323" customWidth="1"/>
    <col min="8457" max="8457" width="10.5546875" style="323" customWidth="1"/>
    <col min="8458" max="8458" width="8.88671875" style="323"/>
    <col min="8459" max="8459" width="9" style="323" customWidth="1"/>
    <col min="8460" max="8460" width="6.44140625" style="323" customWidth="1"/>
    <col min="8461" max="8706" width="8.88671875" style="323"/>
    <col min="8707" max="8707" width="8.5546875" style="323" customWidth="1"/>
    <col min="8708" max="8708" width="4.109375" style="323" customWidth="1"/>
    <col min="8709" max="8709" width="19.6640625" style="323" customWidth="1"/>
    <col min="8710" max="8710" width="37" style="323" customWidth="1"/>
    <col min="8711" max="8711" width="12.5546875" style="323" customWidth="1"/>
    <col min="8712" max="8712" width="5.33203125" style="323" customWidth="1"/>
    <col min="8713" max="8713" width="10.5546875" style="323" customWidth="1"/>
    <col min="8714" max="8714" width="8.88671875" style="323"/>
    <col min="8715" max="8715" width="9" style="323" customWidth="1"/>
    <col min="8716" max="8716" width="6.44140625" style="323" customWidth="1"/>
    <col min="8717" max="8962" width="8.88671875" style="323"/>
    <col min="8963" max="8963" width="8.5546875" style="323" customWidth="1"/>
    <col min="8964" max="8964" width="4.109375" style="323" customWidth="1"/>
    <col min="8965" max="8965" width="19.6640625" style="323" customWidth="1"/>
    <col min="8966" max="8966" width="37" style="323" customWidth="1"/>
    <col min="8967" max="8967" width="12.5546875" style="323" customWidth="1"/>
    <col min="8968" max="8968" width="5.33203125" style="323" customWidth="1"/>
    <col min="8969" max="8969" width="10.5546875" style="323" customWidth="1"/>
    <col min="8970" max="8970" width="8.88671875" style="323"/>
    <col min="8971" max="8971" width="9" style="323" customWidth="1"/>
    <col min="8972" max="8972" width="6.44140625" style="323" customWidth="1"/>
    <col min="8973" max="9218" width="8.88671875" style="323"/>
    <col min="9219" max="9219" width="8.5546875" style="323" customWidth="1"/>
    <col min="9220" max="9220" width="4.109375" style="323" customWidth="1"/>
    <col min="9221" max="9221" width="19.6640625" style="323" customWidth="1"/>
    <col min="9222" max="9222" width="37" style="323" customWidth="1"/>
    <col min="9223" max="9223" width="12.5546875" style="323" customWidth="1"/>
    <col min="9224" max="9224" width="5.33203125" style="323" customWidth="1"/>
    <col min="9225" max="9225" width="10.5546875" style="323" customWidth="1"/>
    <col min="9226" max="9226" width="8.88671875" style="323"/>
    <col min="9227" max="9227" width="9" style="323" customWidth="1"/>
    <col min="9228" max="9228" width="6.44140625" style="323" customWidth="1"/>
    <col min="9229" max="9474" width="8.88671875" style="323"/>
    <col min="9475" max="9475" width="8.5546875" style="323" customWidth="1"/>
    <col min="9476" max="9476" width="4.109375" style="323" customWidth="1"/>
    <col min="9477" max="9477" width="19.6640625" style="323" customWidth="1"/>
    <col min="9478" max="9478" width="37" style="323" customWidth="1"/>
    <col min="9479" max="9479" width="12.5546875" style="323" customWidth="1"/>
    <col min="9480" max="9480" width="5.33203125" style="323" customWidth="1"/>
    <col min="9481" max="9481" width="10.5546875" style="323" customWidth="1"/>
    <col min="9482" max="9482" width="8.88671875" style="323"/>
    <col min="9483" max="9483" width="9" style="323" customWidth="1"/>
    <col min="9484" max="9484" width="6.44140625" style="323" customWidth="1"/>
    <col min="9485" max="9730" width="8.88671875" style="323"/>
    <col min="9731" max="9731" width="8.5546875" style="323" customWidth="1"/>
    <col min="9732" max="9732" width="4.109375" style="323" customWidth="1"/>
    <col min="9733" max="9733" width="19.6640625" style="323" customWidth="1"/>
    <col min="9734" max="9734" width="37" style="323" customWidth="1"/>
    <col min="9735" max="9735" width="12.5546875" style="323" customWidth="1"/>
    <col min="9736" max="9736" width="5.33203125" style="323" customWidth="1"/>
    <col min="9737" max="9737" width="10.5546875" style="323" customWidth="1"/>
    <col min="9738" max="9738" width="8.88671875" style="323"/>
    <col min="9739" max="9739" width="9" style="323" customWidth="1"/>
    <col min="9740" max="9740" width="6.44140625" style="323" customWidth="1"/>
    <col min="9741" max="9986" width="8.88671875" style="323"/>
    <col min="9987" max="9987" width="8.5546875" style="323" customWidth="1"/>
    <col min="9988" max="9988" width="4.109375" style="323" customWidth="1"/>
    <col min="9989" max="9989" width="19.6640625" style="323" customWidth="1"/>
    <col min="9990" max="9990" width="37" style="323" customWidth="1"/>
    <col min="9991" max="9991" width="12.5546875" style="323" customWidth="1"/>
    <col min="9992" max="9992" width="5.33203125" style="323" customWidth="1"/>
    <col min="9993" max="9993" width="10.5546875" style="323" customWidth="1"/>
    <col min="9994" max="9994" width="8.88671875" style="323"/>
    <col min="9995" max="9995" width="9" style="323" customWidth="1"/>
    <col min="9996" max="9996" width="6.44140625" style="323" customWidth="1"/>
    <col min="9997" max="10242" width="8.88671875" style="323"/>
    <col min="10243" max="10243" width="8.5546875" style="323" customWidth="1"/>
    <col min="10244" max="10244" width="4.109375" style="323" customWidth="1"/>
    <col min="10245" max="10245" width="19.6640625" style="323" customWidth="1"/>
    <col min="10246" max="10246" width="37" style="323" customWidth="1"/>
    <col min="10247" max="10247" width="12.5546875" style="323" customWidth="1"/>
    <col min="10248" max="10248" width="5.33203125" style="323" customWidth="1"/>
    <col min="10249" max="10249" width="10.5546875" style="323" customWidth="1"/>
    <col min="10250" max="10250" width="8.88671875" style="323"/>
    <col min="10251" max="10251" width="9" style="323" customWidth="1"/>
    <col min="10252" max="10252" width="6.44140625" style="323" customWidth="1"/>
    <col min="10253" max="10498" width="8.88671875" style="323"/>
    <col min="10499" max="10499" width="8.5546875" style="323" customWidth="1"/>
    <col min="10500" max="10500" width="4.109375" style="323" customWidth="1"/>
    <col min="10501" max="10501" width="19.6640625" style="323" customWidth="1"/>
    <col min="10502" max="10502" width="37" style="323" customWidth="1"/>
    <col min="10503" max="10503" width="12.5546875" style="323" customWidth="1"/>
    <col min="10504" max="10504" width="5.33203125" style="323" customWidth="1"/>
    <col min="10505" max="10505" width="10.5546875" style="323" customWidth="1"/>
    <col min="10506" max="10506" width="8.88671875" style="323"/>
    <col min="10507" max="10507" width="9" style="323" customWidth="1"/>
    <col min="10508" max="10508" width="6.44140625" style="323" customWidth="1"/>
    <col min="10509" max="10754" width="8.88671875" style="323"/>
    <col min="10755" max="10755" width="8.5546875" style="323" customWidth="1"/>
    <col min="10756" max="10756" width="4.109375" style="323" customWidth="1"/>
    <col min="10757" max="10757" width="19.6640625" style="323" customWidth="1"/>
    <col min="10758" max="10758" width="37" style="323" customWidth="1"/>
    <col min="10759" max="10759" width="12.5546875" style="323" customWidth="1"/>
    <col min="10760" max="10760" width="5.33203125" style="323" customWidth="1"/>
    <col min="10761" max="10761" width="10.5546875" style="323" customWidth="1"/>
    <col min="10762" max="10762" width="8.88671875" style="323"/>
    <col min="10763" max="10763" width="9" style="323" customWidth="1"/>
    <col min="10764" max="10764" width="6.44140625" style="323" customWidth="1"/>
    <col min="10765" max="11010" width="8.88671875" style="323"/>
    <col min="11011" max="11011" width="8.5546875" style="323" customWidth="1"/>
    <col min="11012" max="11012" width="4.109375" style="323" customWidth="1"/>
    <col min="11013" max="11013" width="19.6640625" style="323" customWidth="1"/>
    <col min="11014" max="11014" width="37" style="323" customWidth="1"/>
    <col min="11015" max="11015" width="12.5546875" style="323" customWidth="1"/>
    <col min="11016" max="11016" width="5.33203125" style="323" customWidth="1"/>
    <col min="11017" max="11017" width="10.5546875" style="323" customWidth="1"/>
    <col min="11018" max="11018" width="8.88671875" style="323"/>
    <col min="11019" max="11019" width="9" style="323" customWidth="1"/>
    <col min="11020" max="11020" width="6.44140625" style="323" customWidth="1"/>
    <col min="11021" max="11266" width="8.88671875" style="323"/>
    <col min="11267" max="11267" width="8.5546875" style="323" customWidth="1"/>
    <col min="11268" max="11268" width="4.109375" style="323" customWidth="1"/>
    <col min="11269" max="11269" width="19.6640625" style="323" customWidth="1"/>
    <col min="11270" max="11270" width="37" style="323" customWidth="1"/>
    <col min="11271" max="11271" width="12.5546875" style="323" customWidth="1"/>
    <col min="11272" max="11272" width="5.33203125" style="323" customWidth="1"/>
    <col min="11273" max="11273" width="10.5546875" style="323" customWidth="1"/>
    <col min="11274" max="11274" width="8.88671875" style="323"/>
    <col min="11275" max="11275" width="9" style="323" customWidth="1"/>
    <col min="11276" max="11276" width="6.44140625" style="323" customWidth="1"/>
    <col min="11277" max="11522" width="8.88671875" style="323"/>
    <col min="11523" max="11523" width="8.5546875" style="323" customWidth="1"/>
    <col min="11524" max="11524" width="4.109375" style="323" customWidth="1"/>
    <col min="11525" max="11525" width="19.6640625" style="323" customWidth="1"/>
    <col min="11526" max="11526" width="37" style="323" customWidth="1"/>
    <col min="11527" max="11527" width="12.5546875" style="323" customWidth="1"/>
    <col min="11528" max="11528" width="5.33203125" style="323" customWidth="1"/>
    <col min="11529" max="11529" width="10.5546875" style="323" customWidth="1"/>
    <col min="11530" max="11530" width="8.88671875" style="323"/>
    <col min="11531" max="11531" width="9" style="323" customWidth="1"/>
    <col min="11532" max="11532" width="6.44140625" style="323" customWidth="1"/>
    <col min="11533" max="11778" width="8.88671875" style="323"/>
    <col min="11779" max="11779" width="8.5546875" style="323" customWidth="1"/>
    <col min="11780" max="11780" width="4.109375" style="323" customWidth="1"/>
    <col min="11781" max="11781" width="19.6640625" style="323" customWidth="1"/>
    <col min="11782" max="11782" width="37" style="323" customWidth="1"/>
    <col min="11783" max="11783" width="12.5546875" style="323" customWidth="1"/>
    <col min="11784" max="11784" width="5.33203125" style="323" customWidth="1"/>
    <col min="11785" max="11785" width="10.5546875" style="323" customWidth="1"/>
    <col min="11786" max="11786" width="8.88671875" style="323"/>
    <col min="11787" max="11787" width="9" style="323" customWidth="1"/>
    <col min="11788" max="11788" width="6.44140625" style="323" customWidth="1"/>
    <col min="11789" max="12034" width="8.88671875" style="323"/>
    <col min="12035" max="12035" width="8.5546875" style="323" customWidth="1"/>
    <col min="12036" max="12036" width="4.109375" style="323" customWidth="1"/>
    <col min="12037" max="12037" width="19.6640625" style="323" customWidth="1"/>
    <col min="12038" max="12038" width="37" style="323" customWidth="1"/>
    <col min="12039" max="12039" width="12.5546875" style="323" customWidth="1"/>
    <col min="12040" max="12040" width="5.33203125" style="323" customWidth="1"/>
    <col min="12041" max="12041" width="10.5546875" style="323" customWidth="1"/>
    <col min="12042" max="12042" width="8.88671875" style="323"/>
    <col min="12043" max="12043" width="9" style="323" customWidth="1"/>
    <col min="12044" max="12044" width="6.44140625" style="323" customWidth="1"/>
    <col min="12045" max="12290" width="8.88671875" style="323"/>
    <col min="12291" max="12291" width="8.5546875" style="323" customWidth="1"/>
    <col min="12292" max="12292" width="4.109375" style="323" customWidth="1"/>
    <col min="12293" max="12293" width="19.6640625" style="323" customWidth="1"/>
    <col min="12294" max="12294" width="37" style="323" customWidth="1"/>
    <col min="12295" max="12295" width="12.5546875" style="323" customWidth="1"/>
    <col min="12296" max="12296" width="5.33203125" style="323" customWidth="1"/>
    <col min="12297" max="12297" width="10.5546875" style="323" customWidth="1"/>
    <col min="12298" max="12298" width="8.88671875" style="323"/>
    <col min="12299" max="12299" width="9" style="323" customWidth="1"/>
    <col min="12300" max="12300" width="6.44140625" style="323" customWidth="1"/>
    <col min="12301" max="12546" width="8.88671875" style="323"/>
    <col min="12547" max="12547" width="8.5546875" style="323" customWidth="1"/>
    <col min="12548" max="12548" width="4.109375" style="323" customWidth="1"/>
    <col min="12549" max="12549" width="19.6640625" style="323" customWidth="1"/>
    <col min="12550" max="12550" width="37" style="323" customWidth="1"/>
    <col min="12551" max="12551" width="12.5546875" style="323" customWidth="1"/>
    <col min="12552" max="12552" width="5.33203125" style="323" customWidth="1"/>
    <col min="12553" max="12553" width="10.5546875" style="323" customWidth="1"/>
    <col min="12554" max="12554" width="8.88671875" style="323"/>
    <col min="12555" max="12555" width="9" style="323" customWidth="1"/>
    <col min="12556" max="12556" width="6.44140625" style="323" customWidth="1"/>
    <col min="12557" max="12802" width="8.88671875" style="323"/>
    <col min="12803" max="12803" width="8.5546875" style="323" customWidth="1"/>
    <col min="12804" max="12804" width="4.109375" style="323" customWidth="1"/>
    <col min="12805" max="12805" width="19.6640625" style="323" customWidth="1"/>
    <col min="12806" max="12806" width="37" style="323" customWidth="1"/>
    <col min="12807" max="12807" width="12.5546875" style="323" customWidth="1"/>
    <col min="12808" max="12808" width="5.33203125" style="323" customWidth="1"/>
    <col min="12809" max="12809" width="10.5546875" style="323" customWidth="1"/>
    <col min="12810" max="12810" width="8.88671875" style="323"/>
    <col min="12811" max="12811" width="9" style="323" customWidth="1"/>
    <col min="12812" max="12812" width="6.44140625" style="323" customWidth="1"/>
    <col min="12813" max="13058" width="8.88671875" style="323"/>
    <col min="13059" max="13059" width="8.5546875" style="323" customWidth="1"/>
    <col min="13060" max="13060" width="4.109375" style="323" customWidth="1"/>
    <col min="13061" max="13061" width="19.6640625" style="323" customWidth="1"/>
    <col min="13062" max="13062" width="37" style="323" customWidth="1"/>
    <col min="13063" max="13063" width="12.5546875" style="323" customWidth="1"/>
    <col min="13064" max="13064" width="5.33203125" style="323" customWidth="1"/>
    <col min="13065" max="13065" width="10.5546875" style="323" customWidth="1"/>
    <col min="13066" max="13066" width="8.88671875" style="323"/>
    <col min="13067" max="13067" width="9" style="323" customWidth="1"/>
    <col min="13068" max="13068" width="6.44140625" style="323" customWidth="1"/>
    <col min="13069" max="13314" width="8.88671875" style="323"/>
    <col min="13315" max="13315" width="8.5546875" style="323" customWidth="1"/>
    <col min="13316" max="13316" width="4.109375" style="323" customWidth="1"/>
    <col min="13317" max="13317" width="19.6640625" style="323" customWidth="1"/>
    <col min="13318" max="13318" width="37" style="323" customWidth="1"/>
    <col min="13319" max="13319" width="12.5546875" style="323" customWidth="1"/>
    <col min="13320" max="13320" width="5.33203125" style="323" customWidth="1"/>
    <col min="13321" max="13321" width="10.5546875" style="323" customWidth="1"/>
    <col min="13322" max="13322" width="8.88671875" style="323"/>
    <col min="13323" max="13323" width="9" style="323" customWidth="1"/>
    <col min="13324" max="13324" width="6.44140625" style="323" customWidth="1"/>
    <col min="13325" max="13570" width="8.88671875" style="323"/>
    <col min="13571" max="13571" width="8.5546875" style="323" customWidth="1"/>
    <col min="13572" max="13572" width="4.109375" style="323" customWidth="1"/>
    <col min="13573" max="13573" width="19.6640625" style="323" customWidth="1"/>
    <col min="13574" max="13574" width="37" style="323" customWidth="1"/>
    <col min="13575" max="13575" width="12.5546875" style="323" customWidth="1"/>
    <col min="13576" max="13576" width="5.33203125" style="323" customWidth="1"/>
    <col min="13577" max="13577" width="10.5546875" style="323" customWidth="1"/>
    <col min="13578" max="13578" width="8.88671875" style="323"/>
    <col min="13579" max="13579" width="9" style="323" customWidth="1"/>
    <col min="13580" max="13580" width="6.44140625" style="323" customWidth="1"/>
    <col min="13581" max="13826" width="8.88671875" style="323"/>
    <col min="13827" max="13827" width="8.5546875" style="323" customWidth="1"/>
    <col min="13828" max="13828" width="4.109375" style="323" customWidth="1"/>
    <col min="13829" max="13829" width="19.6640625" style="323" customWidth="1"/>
    <col min="13830" max="13830" width="37" style="323" customWidth="1"/>
    <col min="13831" max="13831" width="12.5546875" style="323" customWidth="1"/>
    <col min="13832" max="13832" width="5.33203125" style="323" customWidth="1"/>
    <col min="13833" max="13833" width="10.5546875" style="323" customWidth="1"/>
    <col min="13834" max="13834" width="8.88671875" style="323"/>
    <col min="13835" max="13835" width="9" style="323" customWidth="1"/>
    <col min="13836" max="13836" width="6.44140625" style="323" customWidth="1"/>
    <col min="13837" max="14082" width="8.88671875" style="323"/>
    <col min="14083" max="14083" width="8.5546875" style="323" customWidth="1"/>
    <col min="14084" max="14084" width="4.109375" style="323" customWidth="1"/>
    <col min="14085" max="14085" width="19.6640625" style="323" customWidth="1"/>
    <col min="14086" max="14086" width="37" style="323" customWidth="1"/>
    <col min="14087" max="14087" width="12.5546875" style="323" customWidth="1"/>
    <col min="14088" max="14088" width="5.33203125" style="323" customWidth="1"/>
    <col min="14089" max="14089" width="10.5546875" style="323" customWidth="1"/>
    <col min="14090" max="14090" width="8.88671875" style="323"/>
    <col min="14091" max="14091" width="9" style="323" customWidth="1"/>
    <col min="14092" max="14092" width="6.44140625" style="323" customWidth="1"/>
    <col min="14093" max="14338" width="8.88671875" style="323"/>
    <col min="14339" max="14339" width="8.5546875" style="323" customWidth="1"/>
    <col min="14340" max="14340" width="4.109375" style="323" customWidth="1"/>
    <col min="14341" max="14341" width="19.6640625" style="323" customWidth="1"/>
    <col min="14342" max="14342" width="37" style="323" customWidth="1"/>
    <col min="14343" max="14343" width="12.5546875" style="323" customWidth="1"/>
    <col min="14344" max="14344" width="5.33203125" style="323" customWidth="1"/>
    <col min="14345" max="14345" width="10.5546875" style="323" customWidth="1"/>
    <col min="14346" max="14346" width="8.88671875" style="323"/>
    <col min="14347" max="14347" width="9" style="323" customWidth="1"/>
    <col min="14348" max="14348" width="6.44140625" style="323" customWidth="1"/>
    <col min="14349" max="14594" width="8.88671875" style="323"/>
    <col min="14595" max="14595" width="8.5546875" style="323" customWidth="1"/>
    <col min="14596" max="14596" width="4.109375" style="323" customWidth="1"/>
    <col min="14597" max="14597" width="19.6640625" style="323" customWidth="1"/>
    <col min="14598" max="14598" width="37" style="323" customWidth="1"/>
    <col min="14599" max="14599" width="12.5546875" style="323" customWidth="1"/>
    <col min="14600" max="14600" width="5.33203125" style="323" customWidth="1"/>
    <col min="14601" max="14601" width="10.5546875" style="323" customWidth="1"/>
    <col min="14602" max="14602" width="8.88671875" style="323"/>
    <col min="14603" max="14603" width="9" style="323" customWidth="1"/>
    <col min="14604" max="14604" width="6.44140625" style="323" customWidth="1"/>
    <col min="14605" max="14850" width="8.88671875" style="323"/>
    <col min="14851" max="14851" width="8.5546875" style="323" customWidth="1"/>
    <col min="14852" max="14852" width="4.109375" style="323" customWidth="1"/>
    <col min="14853" max="14853" width="19.6640625" style="323" customWidth="1"/>
    <col min="14854" max="14854" width="37" style="323" customWidth="1"/>
    <col min="14855" max="14855" width="12.5546875" style="323" customWidth="1"/>
    <col min="14856" max="14856" width="5.33203125" style="323" customWidth="1"/>
    <col min="14857" max="14857" width="10.5546875" style="323" customWidth="1"/>
    <col min="14858" max="14858" width="8.88671875" style="323"/>
    <col min="14859" max="14859" width="9" style="323" customWidth="1"/>
    <col min="14860" max="14860" width="6.44140625" style="323" customWidth="1"/>
    <col min="14861" max="15106" width="8.88671875" style="323"/>
    <col min="15107" max="15107" width="8.5546875" style="323" customWidth="1"/>
    <col min="15108" max="15108" width="4.109375" style="323" customWidth="1"/>
    <col min="15109" max="15109" width="19.6640625" style="323" customWidth="1"/>
    <col min="15110" max="15110" width="37" style="323" customWidth="1"/>
    <col min="15111" max="15111" width="12.5546875" style="323" customWidth="1"/>
    <col min="15112" max="15112" width="5.33203125" style="323" customWidth="1"/>
    <col min="15113" max="15113" width="10.5546875" style="323" customWidth="1"/>
    <col min="15114" max="15114" width="8.88671875" style="323"/>
    <col min="15115" max="15115" width="9" style="323" customWidth="1"/>
    <col min="15116" max="15116" width="6.44140625" style="323" customWidth="1"/>
    <col min="15117" max="15362" width="8.88671875" style="323"/>
    <col min="15363" max="15363" width="8.5546875" style="323" customWidth="1"/>
    <col min="15364" max="15364" width="4.109375" style="323" customWidth="1"/>
    <col min="15365" max="15365" width="19.6640625" style="323" customWidth="1"/>
    <col min="15366" max="15366" width="37" style="323" customWidth="1"/>
    <col min="15367" max="15367" width="12.5546875" style="323" customWidth="1"/>
    <col min="15368" max="15368" width="5.33203125" style="323" customWidth="1"/>
    <col min="15369" max="15369" width="10.5546875" style="323" customWidth="1"/>
    <col min="15370" max="15370" width="8.88671875" style="323"/>
    <col min="15371" max="15371" width="9" style="323" customWidth="1"/>
    <col min="15372" max="15372" width="6.44140625" style="323" customWidth="1"/>
    <col min="15373" max="15618" width="8.88671875" style="323"/>
    <col min="15619" max="15619" width="8.5546875" style="323" customWidth="1"/>
    <col min="15620" max="15620" width="4.109375" style="323" customWidth="1"/>
    <col min="15621" max="15621" width="19.6640625" style="323" customWidth="1"/>
    <col min="15622" max="15622" width="37" style="323" customWidth="1"/>
    <col min="15623" max="15623" width="12.5546875" style="323" customWidth="1"/>
    <col min="15624" max="15624" width="5.33203125" style="323" customWidth="1"/>
    <col min="15625" max="15625" width="10.5546875" style="323" customWidth="1"/>
    <col min="15626" max="15626" width="8.88671875" style="323"/>
    <col min="15627" max="15627" width="9" style="323" customWidth="1"/>
    <col min="15628" max="15628" width="6.44140625" style="323" customWidth="1"/>
    <col min="15629" max="15874" width="8.88671875" style="323"/>
    <col min="15875" max="15875" width="8.5546875" style="323" customWidth="1"/>
    <col min="15876" max="15876" width="4.109375" style="323" customWidth="1"/>
    <col min="15877" max="15877" width="19.6640625" style="323" customWidth="1"/>
    <col min="15878" max="15878" width="37" style="323" customWidth="1"/>
    <col min="15879" max="15879" width="12.5546875" style="323" customWidth="1"/>
    <col min="15880" max="15880" width="5.33203125" style="323" customWidth="1"/>
    <col min="15881" max="15881" width="10.5546875" style="323" customWidth="1"/>
    <col min="15882" max="15882" width="8.88671875" style="323"/>
    <col min="15883" max="15883" width="9" style="323" customWidth="1"/>
    <col min="15884" max="15884" width="6.44140625" style="323" customWidth="1"/>
    <col min="15885" max="16130" width="8.88671875" style="323"/>
    <col min="16131" max="16131" width="8.5546875" style="323" customWidth="1"/>
    <col min="16132" max="16132" width="4.109375" style="323" customWidth="1"/>
    <col min="16133" max="16133" width="19.6640625" style="323" customWidth="1"/>
    <col min="16134" max="16134" width="37" style="323" customWidth="1"/>
    <col min="16135" max="16135" width="12.5546875" style="323" customWidth="1"/>
    <col min="16136" max="16136" width="5.33203125" style="323" customWidth="1"/>
    <col min="16137" max="16137" width="10.5546875" style="323" customWidth="1"/>
    <col min="16138" max="16138" width="8.88671875" style="323"/>
    <col min="16139" max="16139" width="9" style="323" customWidth="1"/>
    <col min="16140" max="16140" width="6.44140625" style="323" customWidth="1"/>
    <col min="16141" max="16384" width="8.88671875" style="323"/>
  </cols>
  <sheetData>
    <row r="1" spans="1:14" s="708" customFormat="1" ht="30" customHeight="1" thickBot="1">
      <c r="A1" s="703" t="s">
        <v>42</v>
      </c>
      <c r="B1" s="704"/>
      <c r="C1" s="704"/>
      <c r="D1" s="703" t="str">
        <f>기술투자!B8</f>
        <v>◇◇기술공사㈜</v>
      </c>
      <c r="E1" s="703"/>
      <c r="F1" s="703"/>
      <c r="G1" s="705"/>
      <c r="H1" s="740" t="s">
        <v>114</v>
      </c>
      <c r="I1" s="741">
        <v>39814</v>
      </c>
      <c r="J1" s="742"/>
      <c r="K1" s="750"/>
      <c r="L1" s="282"/>
      <c r="M1" s="284"/>
      <c r="N1" s="284"/>
    </row>
    <row r="2" spans="1:14" s="286" customFormat="1" ht="35.1" customHeight="1">
      <c r="A2" s="709" t="s">
        <v>107</v>
      </c>
      <c r="B2" s="710" t="s">
        <v>108</v>
      </c>
      <c r="C2" s="710" t="s">
        <v>582</v>
      </c>
      <c r="D2" s="710" t="s">
        <v>109</v>
      </c>
      <c r="E2" s="711" t="s">
        <v>583</v>
      </c>
      <c r="F2" s="712" t="s">
        <v>584</v>
      </c>
      <c r="G2" s="712" t="s">
        <v>585</v>
      </c>
      <c r="H2" s="712" t="s">
        <v>586</v>
      </c>
      <c r="I2" s="710" t="s">
        <v>110</v>
      </c>
      <c r="J2" s="710" t="s">
        <v>111</v>
      </c>
      <c r="K2" s="710" t="s">
        <v>587</v>
      </c>
      <c r="L2" s="713" t="s">
        <v>95</v>
      </c>
    </row>
    <row r="3" spans="1:14" s="723" customFormat="1" ht="35.1" customHeight="1">
      <c r="A3" s="714" t="s">
        <v>588</v>
      </c>
      <c r="B3" s="715">
        <v>1</v>
      </c>
      <c r="C3" s="715"/>
      <c r="D3" s="715" t="s">
        <v>590</v>
      </c>
      <c r="E3" s="715"/>
      <c r="F3" s="716" t="s">
        <v>591</v>
      </c>
      <c r="G3" s="743">
        <v>4</v>
      </c>
      <c r="H3" s="718">
        <v>39570</v>
      </c>
      <c r="I3" s="719">
        <f>$I$1-H3</f>
        <v>244</v>
      </c>
      <c r="J3" s="720" t="s">
        <v>592</v>
      </c>
      <c r="K3" s="721">
        <v>1</v>
      </c>
      <c r="L3" s="722">
        <f>1/G3*K3</f>
        <v>0.25</v>
      </c>
    </row>
    <row r="4" spans="1:14" ht="35.1" customHeight="1">
      <c r="A4" s="714" t="s">
        <v>588</v>
      </c>
      <c r="B4" s="715">
        <v>2</v>
      </c>
      <c r="C4" s="715"/>
      <c r="D4" s="715" t="s">
        <v>590</v>
      </c>
      <c r="E4" s="715"/>
      <c r="F4" s="716" t="s">
        <v>591</v>
      </c>
      <c r="G4" s="743">
        <v>4</v>
      </c>
      <c r="H4" s="718">
        <v>39571</v>
      </c>
      <c r="I4" s="719">
        <f>$I$1-H4</f>
        <v>243</v>
      </c>
      <c r="J4" s="720" t="s">
        <v>592</v>
      </c>
      <c r="K4" s="721">
        <v>0.6</v>
      </c>
      <c r="L4" s="722">
        <f>1/G4*K4</f>
        <v>0.15</v>
      </c>
    </row>
    <row r="5" spans="1:14" s="726" customFormat="1" ht="35.1" customHeight="1">
      <c r="A5" s="1248" t="s">
        <v>593</v>
      </c>
      <c r="B5" s="1249"/>
      <c r="C5" s="1249"/>
      <c r="D5" s="1249"/>
      <c r="E5" s="1249"/>
      <c r="F5" s="1249"/>
      <c r="G5" s="1249"/>
      <c r="H5" s="1249"/>
      <c r="I5" s="1249"/>
      <c r="J5" s="1250"/>
      <c r="K5" s="724"/>
      <c r="L5" s="744">
        <f>SUM(L3:L4)</f>
        <v>0.4</v>
      </c>
    </row>
    <row r="6" spans="1:14" s="723" customFormat="1" ht="35.1" customHeight="1">
      <c r="A6" s="714" t="s">
        <v>594</v>
      </c>
      <c r="B6" s="715">
        <v>1</v>
      </c>
      <c r="C6" s="715"/>
      <c r="D6" s="715" t="s">
        <v>595</v>
      </c>
      <c r="E6" s="715"/>
      <c r="F6" s="716" t="s">
        <v>591</v>
      </c>
      <c r="G6" s="717">
        <v>2</v>
      </c>
      <c r="H6" s="718">
        <v>34823</v>
      </c>
      <c r="I6" s="719">
        <f>$I$1-H6</f>
        <v>4991</v>
      </c>
      <c r="J6" s="720" t="s">
        <v>592</v>
      </c>
      <c r="K6" s="721">
        <v>1</v>
      </c>
      <c r="L6" s="722">
        <f t="shared" ref="L6:L7" si="0">1/G6*K6</f>
        <v>0.5</v>
      </c>
    </row>
    <row r="7" spans="1:14" s="723" customFormat="1" ht="35.1" customHeight="1">
      <c r="A7" s="714" t="s">
        <v>594</v>
      </c>
      <c r="B7" s="715">
        <v>2</v>
      </c>
      <c r="C7" s="715"/>
      <c r="D7" s="715" t="s">
        <v>595</v>
      </c>
      <c r="E7" s="715"/>
      <c r="F7" s="716" t="s">
        <v>591</v>
      </c>
      <c r="G7" s="717">
        <v>2</v>
      </c>
      <c r="H7" s="718">
        <v>35189</v>
      </c>
      <c r="I7" s="719">
        <f>$I$1-H7</f>
        <v>4625</v>
      </c>
      <c r="J7" s="720" t="s">
        <v>592</v>
      </c>
      <c r="K7" s="721">
        <v>1</v>
      </c>
      <c r="L7" s="722">
        <f t="shared" si="0"/>
        <v>0.5</v>
      </c>
    </row>
    <row r="8" spans="1:14" s="727" customFormat="1" ht="35.1" customHeight="1">
      <c r="A8" s="1248" t="s">
        <v>596</v>
      </c>
      <c r="B8" s="1249"/>
      <c r="C8" s="1249"/>
      <c r="D8" s="1249"/>
      <c r="E8" s="1249"/>
      <c r="F8" s="1249"/>
      <c r="G8" s="1249"/>
      <c r="H8" s="1249"/>
      <c r="I8" s="1249"/>
      <c r="J8" s="1250"/>
      <c r="K8" s="724"/>
      <c r="L8" s="744">
        <f>SUM(L6:L7)</f>
        <v>1</v>
      </c>
    </row>
    <row r="9" spans="1:14" ht="35.1" customHeight="1">
      <c r="A9" s="714" t="s">
        <v>594</v>
      </c>
      <c r="B9" s="715">
        <v>3</v>
      </c>
      <c r="C9" s="715"/>
      <c r="D9" s="715" t="s">
        <v>595</v>
      </c>
      <c r="E9" s="715"/>
      <c r="F9" s="716" t="s">
        <v>591</v>
      </c>
      <c r="G9" s="717">
        <v>1</v>
      </c>
      <c r="H9" s="718">
        <v>37382</v>
      </c>
      <c r="I9" s="719">
        <f>$I$1-H9</f>
        <v>2432</v>
      </c>
      <c r="J9" s="720" t="s">
        <v>592</v>
      </c>
      <c r="K9" s="721">
        <v>0.6</v>
      </c>
      <c r="L9" s="722">
        <f t="shared" ref="L9:L10" si="1">1/G9*K9</f>
        <v>0.6</v>
      </c>
    </row>
    <row r="10" spans="1:14" ht="35.1" customHeight="1">
      <c r="A10" s="714" t="s">
        <v>594</v>
      </c>
      <c r="B10" s="715">
        <v>4</v>
      </c>
      <c r="C10" s="715"/>
      <c r="D10" s="715" t="s">
        <v>595</v>
      </c>
      <c r="E10" s="715"/>
      <c r="F10" s="716" t="s">
        <v>591</v>
      </c>
      <c r="G10" s="717">
        <v>2</v>
      </c>
      <c r="H10" s="718">
        <v>37750</v>
      </c>
      <c r="I10" s="719">
        <f>$I$1-H10</f>
        <v>2064</v>
      </c>
      <c r="J10" s="720" t="s">
        <v>592</v>
      </c>
      <c r="K10" s="721">
        <v>0.6</v>
      </c>
      <c r="L10" s="722">
        <f t="shared" si="1"/>
        <v>0.3</v>
      </c>
    </row>
    <row r="11" spans="1:14" s="727" customFormat="1" ht="35.1" customHeight="1">
      <c r="A11" s="1248" t="s">
        <v>597</v>
      </c>
      <c r="B11" s="1249"/>
      <c r="C11" s="1249"/>
      <c r="D11" s="1249"/>
      <c r="E11" s="1249"/>
      <c r="F11" s="1249"/>
      <c r="G11" s="1249"/>
      <c r="H11" s="1249"/>
      <c r="I11" s="1249"/>
      <c r="J11" s="1250"/>
      <c r="K11" s="724"/>
      <c r="L11" s="744">
        <f>SUM(L9:L10)</f>
        <v>0.89999999999999991</v>
      </c>
    </row>
    <row r="12" spans="1:14" s="723" customFormat="1" ht="35.1" customHeight="1">
      <c r="A12" s="714" t="s">
        <v>594</v>
      </c>
      <c r="B12" s="715">
        <v>5</v>
      </c>
      <c r="C12" s="715"/>
      <c r="D12" s="715" t="s">
        <v>595</v>
      </c>
      <c r="E12" s="715"/>
      <c r="F12" s="716" t="s">
        <v>591</v>
      </c>
      <c r="G12" s="717">
        <v>1</v>
      </c>
      <c r="H12" s="718">
        <v>38117</v>
      </c>
      <c r="I12" s="719">
        <f t="shared" ref="I12:I13" si="2">$I$1-H12</f>
        <v>1697</v>
      </c>
      <c r="J12" s="720" t="s">
        <v>592</v>
      </c>
      <c r="K12" s="721">
        <v>1</v>
      </c>
      <c r="L12" s="722">
        <f t="shared" ref="L12:L13" si="3">1/G12*K12</f>
        <v>1</v>
      </c>
    </row>
    <row r="13" spans="1:14" s="723" customFormat="1" ht="35.1" customHeight="1">
      <c r="A13" s="714" t="s">
        <v>594</v>
      </c>
      <c r="B13" s="715">
        <v>6</v>
      </c>
      <c r="C13" s="715"/>
      <c r="D13" s="715" t="s">
        <v>595</v>
      </c>
      <c r="E13" s="715"/>
      <c r="F13" s="716" t="s">
        <v>591</v>
      </c>
      <c r="G13" s="717">
        <v>1</v>
      </c>
      <c r="H13" s="718">
        <v>38483</v>
      </c>
      <c r="I13" s="719">
        <f t="shared" si="2"/>
        <v>1331</v>
      </c>
      <c r="J13" s="720" t="s">
        <v>592</v>
      </c>
      <c r="K13" s="721">
        <v>1</v>
      </c>
      <c r="L13" s="722">
        <f t="shared" si="3"/>
        <v>1</v>
      </c>
    </row>
    <row r="14" spans="1:14" s="726" customFormat="1" ht="35.1" customHeight="1">
      <c r="A14" s="1248" t="s">
        <v>598</v>
      </c>
      <c r="B14" s="1249"/>
      <c r="C14" s="1249"/>
      <c r="D14" s="1249"/>
      <c r="E14" s="1249"/>
      <c r="F14" s="1249"/>
      <c r="G14" s="1249"/>
      <c r="H14" s="1249"/>
      <c r="I14" s="1249"/>
      <c r="J14" s="1250"/>
      <c r="K14" s="724"/>
      <c r="L14" s="744">
        <f>SUM(L12:L13)</f>
        <v>2</v>
      </c>
    </row>
    <row r="15" spans="1:14" s="723" customFormat="1" ht="35.1" customHeight="1">
      <c r="A15" s="714" t="s">
        <v>599</v>
      </c>
      <c r="B15" s="715">
        <v>1</v>
      </c>
      <c r="C15" s="715"/>
      <c r="D15" s="715" t="s">
        <v>600</v>
      </c>
      <c r="E15" s="715"/>
      <c r="F15" s="716" t="s">
        <v>591</v>
      </c>
      <c r="G15" s="717">
        <v>1</v>
      </c>
      <c r="H15" s="718">
        <v>37015</v>
      </c>
      <c r="I15" s="719">
        <f>$I$1-H15</f>
        <v>2799</v>
      </c>
      <c r="J15" s="720" t="s">
        <v>592</v>
      </c>
      <c r="K15" s="721">
        <v>1</v>
      </c>
      <c r="L15" s="722">
        <f t="shared" ref="L15:L16" si="4">1/G15*K15</f>
        <v>1</v>
      </c>
    </row>
    <row r="16" spans="1:14" s="723" customFormat="1" ht="35.1" customHeight="1">
      <c r="A16" s="714" t="s">
        <v>599</v>
      </c>
      <c r="B16" s="715">
        <v>2</v>
      </c>
      <c r="C16" s="715"/>
      <c r="D16" s="715" t="s">
        <v>600</v>
      </c>
      <c r="E16" s="715"/>
      <c r="F16" s="716" t="s">
        <v>591</v>
      </c>
      <c r="G16" s="717">
        <v>2</v>
      </c>
      <c r="H16" s="718">
        <v>37380</v>
      </c>
      <c r="I16" s="719">
        <f>$I$1-H16</f>
        <v>2434</v>
      </c>
      <c r="J16" s="720" t="s">
        <v>592</v>
      </c>
      <c r="K16" s="721">
        <v>1</v>
      </c>
      <c r="L16" s="722">
        <f t="shared" si="4"/>
        <v>0.5</v>
      </c>
    </row>
    <row r="17" spans="1:14" s="726" customFormat="1" ht="35.1" customHeight="1">
      <c r="A17" s="1248" t="s">
        <v>601</v>
      </c>
      <c r="B17" s="1249"/>
      <c r="C17" s="1249"/>
      <c r="D17" s="1249"/>
      <c r="E17" s="1249"/>
      <c r="F17" s="1249"/>
      <c r="G17" s="1249"/>
      <c r="H17" s="1249"/>
      <c r="I17" s="1249"/>
      <c r="J17" s="1250"/>
      <c r="K17" s="724"/>
      <c r="L17" s="744">
        <f>SUM(L15:L16)</f>
        <v>1.5</v>
      </c>
    </row>
    <row r="18" spans="1:14" s="723" customFormat="1" ht="35.1" customHeight="1">
      <c r="A18" s="714" t="s">
        <v>599</v>
      </c>
      <c r="B18" s="715">
        <v>3</v>
      </c>
      <c r="C18" s="715"/>
      <c r="D18" s="715" t="s">
        <v>600</v>
      </c>
      <c r="E18" s="715"/>
      <c r="F18" s="716" t="s">
        <v>591</v>
      </c>
      <c r="G18" s="717">
        <v>1</v>
      </c>
      <c r="H18" s="718">
        <v>38476</v>
      </c>
      <c r="I18" s="719">
        <f>$I$1-H18</f>
        <v>1338</v>
      </c>
      <c r="J18" s="720" t="s">
        <v>592</v>
      </c>
      <c r="K18" s="721">
        <v>1</v>
      </c>
      <c r="L18" s="722">
        <f t="shared" ref="L18:L19" si="5">1/G18*K18</f>
        <v>1</v>
      </c>
    </row>
    <row r="19" spans="1:14" s="723" customFormat="1" ht="35.1" customHeight="1">
      <c r="A19" s="714" t="s">
        <v>599</v>
      </c>
      <c r="B19" s="715">
        <v>4</v>
      </c>
      <c r="C19" s="715"/>
      <c r="D19" s="715" t="s">
        <v>600</v>
      </c>
      <c r="E19" s="715"/>
      <c r="F19" s="716" t="s">
        <v>591</v>
      </c>
      <c r="G19" s="717">
        <v>2</v>
      </c>
      <c r="H19" s="718">
        <v>39206</v>
      </c>
      <c r="I19" s="719">
        <f>$I$1-H19</f>
        <v>608</v>
      </c>
      <c r="J19" s="720" t="s">
        <v>592</v>
      </c>
      <c r="K19" s="721">
        <v>1</v>
      </c>
      <c r="L19" s="722">
        <f t="shared" si="5"/>
        <v>0.5</v>
      </c>
    </row>
    <row r="20" spans="1:14" s="726" customFormat="1" ht="35.1" customHeight="1">
      <c r="A20" s="1248" t="s">
        <v>602</v>
      </c>
      <c r="B20" s="1249"/>
      <c r="C20" s="1249"/>
      <c r="D20" s="1249"/>
      <c r="E20" s="1249"/>
      <c r="F20" s="1249"/>
      <c r="G20" s="1249"/>
      <c r="H20" s="1249"/>
      <c r="I20" s="1249"/>
      <c r="J20" s="1250"/>
      <c r="K20" s="724"/>
      <c r="L20" s="744">
        <f>SUM(L18:L19)</f>
        <v>1.5</v>
      </c>
    </row>
    <row r="21" spans="1:14" s="723" customFormat="1" ht="35.1" customHeight="1">
      <c r="A21" s="714" t="s">
        <v>603</v>
      </c>
      <c r="B21" s="715">
        <v>1</v>
      </c>
      <c r="C21" s="715"/>
      <c r="D21" s="715" t="s">
        <v>604</v>
      </c>
      <c r="E21" s="715"/>
      <c r="F21" s="716" t="s">
        <v>591</v>
      </c>
      <c r="G21" s="717">
        <v>1</v>
      </c>
      <c r="H21" s="718">
        <v>38476</v>
      </c>
      <c r="I21" s="719">
        <f t="shared" ref="I21:I22" si="6">$I$1-H21</f>
        <v>1338</v>
      </c>
      <c r="J21" s="720" t="s">
        <v>592</v>
      </c>
      <c r="K21" s="721">
        <v>1</v>
      </c>
      <c r="L21" s="722">
        <f t="shared" ref="L21:L22" si="7">1/G21*K21</f>
        <v>1</v>
      </c>
    </row>
    <row r="22" spans="1:14" s="723" customFormat="1" ht="35.1" customHeight="1">
      <c r="A22" s="714" t="s">
        <v>603</v>
      </c>
      <c r="B22" s="715">
        <v>2</v>
      </c>
      <c r="C22" s="715"/>
      <c r="D22" s="715" t="s">
        <v>604</v>
      </c>
      <c r="E22" s="715"/>
      <c r="F22" s="716" t="s">
        <v>591</v>
      </c>
      <c r="G22" s="717">
        <v>2</v>
      </c>
      <c r="H22" s="718">
        <v>39206</v>
      </c>
      <c r="I22" s="719">
        <f t="shared" si="6"/>
        <v>608</v>
      </c>
      <c r="J22" s="720" t="s">
        <v>592</v>
      </c>
      <c r="K22" s="721">
        <v>1</v>
      </c>
      <c r="L22" s="722">
        <f t="shared" si="7"/>
        <v>0.5</v>
      </c>
    </row>
    <row r="23" spans="1:14" s="726" customFormat="1" ht="35.1" customHeight="1" thickBot="1">
      <c r="A23" s="1248" t="s">
        <v>605</v>
      </c>
      <c r="B23" s="1249"/>
      <c r="C23" s="1249"/>
      <c r="D23" s="1249"/>
      <c r="E23" s="1249"/>
      <c r="F23" s="1249"/>
      <c r="G23" s="1249"/>
      <c r="H23" s="1249"/>
      <c r="I23" s="1249"/>
      <c r="J23" s="1250"/>
      <c r="K23" s="724"/>
      <c r="L23" s="725">
        <f>SUM(L21:L22)</f>
        <v>1.5</v>
      </c>
    </row>
    <row r="24" spans="1:14" ht="15" customHeight="1">
      <c r="A24" s="732" t="s">
        <v>606</v>
      </c>
      <c r="B24" s="308" t="s">
        <v>607</v>
      </c>
      <c r="C24" s="308"/>
      <c r="D24" s="733"/>
      <c r="E24" s="745"/>
      <c r="F24" s="745"/>
      <c r="G24" s="746"/>
      <c r="H24" s="746"/>
      <c r="I24" s="747"/>
      <c r="J24" s="748"/>
      <c r="K24" s="751"/>
      <c r="L24" s="552"/>
    </row>
    <row r="25" spans="1:14" ht="15" customHeight="1">
      <c r="A25" s="732" t="s">
        <v>608</v>
      </c>
      <c r="B25" s="308" t="s">
        <v>609</v>
      </c>
      <c r="C25" s="308"/>
      <c r="D25" s="733"/>
      <c r="E25" s="745"/>
      <c r="F25" s="733"/>
      <c r="H25" s="737"/>
      <c r="I25" s="737"/>
    </row>
    <row r="26" spans="1:14" ht="15" customHeight="1">
      <c r="A26" s="732"/>
      <c r="B26" s="308"/>
      <c r="C26" s="308"/>
      <c r="D26" s="733"/>
      <c r="E26" s="733"/>
      <c r="F26" s="733"/>
      <c r="H26" s="737"/>
      <c r="I26" s="737"/>
    </row>
    <row r="27" spans="1:14" ht="15" customHeight="1">
      <c r="A27" s="736"/>
      <c r="H27" s="737"/>
      <c r="I27" s="737"/>
    </row>
    <row r="28" spans="1:14" ht="15" customHeight="1">
      <c r="A28" s="736"/>
      <c r="H28" s="737"/>
      <c r="I28" s="737"/>
    </row>
    <row r="29" spans="1:14" ht="15" customHeight="1">
      <c r="A29" s="736"/>
      <c r="H29" s="737"/>
      <c r="I29" s="737"/>
    </row>
    <row r="30" spans="1:14" ht="15" customHeight="1">
      <c r="C30" s="320"/>
      <c r="D30" s="320"/>
      <c r="F30" s="320"/>
      <c r="G30" s="739"/>
      <c r="H30" s="335"/>
      <c r="I30" s="335"/>
    </row>
    <row r="31" spans="1:14" ht="15" customHeight="1">
      <c r="C31" s="320"/>
      <c r="D31" s="320"/>
      <c r="E31" s="320"/>
      <c r="F31" s="320"/>
      <c r="G31" s="739"/>
      <c r="H31" s="335"/>
      <c r="I31" s="335"/>
    </row>
    <row r="32" spans="1:14" s="749" customFormat="1" ht="15" customHeight="1">
      <c r="A32" s="318"/>
      <c r="B32" s="324"/>
      <c r="C32" s="320"/>
      <c r="D32" s="320"/>
      <c r="E32" s="320"/>
      <c r="F32" s="320"/>
      <c r="G32" s="739"/>
      <c r="H32" s="335"/>
      <c r="I32" s="335"/>
      <c r="K32" s="500"/>
      <c r="L32" s="321"/>
      <c r="M32" s="323"/>
      <c r="N32" s="323"/>
    </row>
    <row r="33" spans="1:14" s="749" customFormat="1" ht="15" customHeight="1">
      <c r="A33" s="318"/>
      <c r="B33" s="324"/>
      <c r="C33" s="320"/>
      <c r="D33" s="320"/>
      <c r="E33" s="320"/>
      <c r="F33" s="320"/>
      <c r="G33" s="739"/>
      <c r="H33" s="335"/>
      <c r="I33" s="335"/>
      <c r="K33" s="500"/>
      <c r="L33" s="321"/>
      <c r="M33" s="323"/>
      <c r="N33" s="323"/>
    </row>
    <row r="34" spans="1:14" s="749" customFormat="1" ht="15" customHeight="1">
      <c r="A34" s="318"/>
      <c r="B34" s="324"/>
      <c r="C34" s="320"/>
      <c r="D34" s="320"/>
      <c r="E34" s="320"/>
      <c r="F34" s="320"/>
      <c r="G34" s="739"/>
      <c r="H34" s="335"/>
      <c r="I34" s="335"/>
      <c r="K34" s="500"/>
      <c r="L34" s="321"/>
      <c r="M34" s="323"/>
      <c r="N34" s="323"/>
    </row>
    <row r="35" spans="1:14" s="749" customFormat="1" ht="12" customHeight="1">
      <c r="A35" s="318"/>
      <c r="B35" s="324"/>
      <c r="C35" s="320"/>
      <c r="D35" s="320"/>
      <c r="E35" s="320"/>
      <c r="F35" s="320"/>
      <c r="G35" s="739"/>
      <c r="H35" s="335"/>
      <c r="I35" s="335"/>
      <c r="K35" s="500"/>
      <c r="L35" s="321"/>
      <c r="M35" s="323"/>
      <c r="N35" s="323"/>
    </row>
    <row r="36" spans="1:14" s="749" customFormat="1" ht="12" customHeight="1">
      <c r="A36" s="318"/>
      <c r="B36" s="324"/>
      <c r="C36" s="320"/>
      <c r="D36" s="320"/>
      <c r="E36" s="320"/>
      <c r="F36" s="320"/>
      <c r="G36" s="739"/>
      <c r="H36" s="335"/>
      <c r="I36" s="335"/>
      <c r="K36" s="500"/>
      <c r="L36" s="321"/>
      <c r="M36" s="323"/>
      <c r="N36" s="323"/>
    </row>
    <row r="37" spans="1:14" s="749" customFormat="1" ht="12" customHeight="1">
      <c r="A37" s="318"/>
      <c r="B37" s="324"/>
      <c r="C37" s="320"/>
      <c r="D37" s="320"/>
      <c r="E37" s="320"/>
      <c r="F37" s="320"/>
      <c r="G37" s="739"/>
      <c r="H37" s="335"/>
      <c r="I37" s="335"/>
      <c r="K37" s="500"/>
      <c r="L37" s="321"/>
      <c r="M37" s="323"/>
      <c r="N37" s="323"/>
    </row>
    <row r="38" spans="1:14" s="749" customFormat="1" ht="12" customHeight="1">
      <c r="A38" s="318"/>
      <c r="B38" s="324"/>
      <c r="C38" s="320"/>
      <c r="D38" s="320"/>
      <c r="E38" s="320"/>
      <c r="F38" s="320"/>
      <c r="G38" s="739"/>
      <c r="H38" s="335"/>
      <c r="I38" s="335"/>
      <c r="K38" s="500"/>
      <c r="L38" s="321"/>
      <c r="M38" s="323"/>
      <c r="N38" s="323"/>
    </row>
    <row r="39" spans="1:14" s="749" customFormat="1" ht="12" customHeight="1">
      <c r="A39" s="318"/>
      <c r="B39" s="324"/>
      <c r="C39" s="320"/>
      <c r="D39" s="320"/>
      <c r="E39" s="320"/>
      <c r="F39" s="320"/>
      <c r="G39" s="739"/>
      <c r="H39" s="335"/>
      <c r="I39" s="335"/>
      <c r="K39" s="500"/>
      <c r="L39" s="321"/>
      <c r="M39" s="323"/>
      <c r="N39" s="323"/>
    </row>
    <row r="40" spans="1:14" s="749" customFormat="1" ht="12" customHeight="1">
      <c r="A40" s="318"/>
      <c r="B40" s="324"/>
      <c r="C40" s="320"/>
      <c r="D40" s="320"/>
      <c r="E40" s="320"/>
      <c r="F40" s="320"/>
      <c r="G40" s="739"/>
      <c r="H40" s="335"/>
      <c r="I40" s="335"/>
      <c r="K40" s="500"/>
      <c r="L40" s="321"/>
      <c r="M40" s="323"/>
      <c r="N40" s="323"/>
    </row>
    <row r="41" spans="1:14" s="749" customFormat="1" ht="12" customHeight="1">
      <c r="A41" s="318"/>
      <c r="B41" s="324"/>
      <c r="C41" s="320"/>
      <c r="D41" s="320"/>
      <c r="E41" s="320"/>
      <c r="F41" s="320"/>
      <c r="G41" s="739"/>
      <c r="H41" s="335"/>
      <c r="I41" s="335"/>
      <c r="K41" s="500"/>
      <c r="L41" s="321"/>
      <c r="M41" s="323"/>
      <c r="N41" s="323"/>
    </row>
    <row r="42" spans="1:14" s="749" customFormat="1" ht="12" customHeight="1">
      <c r="A42" s="318"/>
      <c r="B42" s="324"/>
      <c r="C42" s="320"/>
      <c r="D42" s="320"/>
      <c r="E42" s="320"/>
      <c r="F42" s="320"/>
      <c r="G42" s="739"/>
      <c r="H42" s="335"/>
      <c r="I42" s="335"/>
      <c r="K42" s="500"/>
      <c r="L42" s="321"/>
      <c r="M42" s="323"/>
      <c r="N42" s="323"/>
    </row>
    <row r="43" spans="1:14" s="749" customFormat="1" ht="12" customHeight="1">
      <c r="A43" s="318"/>
      <c r="B43" s="324"/>
      <c r="C43" s="320"/>
      <c r="D43" s="320"/>
      <c r="E43" s="320"/>
      <c r="F43" s="320"/>
      <c r="G43" s="739"/>
      <c r="H43" s="335"/>
      <c r="I43" s="335"/>
      <c r="K43" s="500"/>
      <c r="L43" s="321"/>
      <c r="M43" s="323"/>
      <c r="N43" s="323"/>
    </row>
    <row r="44" spans="1:14" s="749" customFormat="1" ht="12" customHeight="1">
      <c r="A44" s="318"/>
      <c r="B44" s="324"/>
      <c r="C44" s="320"/>
      <c r="D44" s="320"/>
      <c r="E44" s="320"/>
      <c r="F44" s="320"/>
      <c r="G44" s="739"/>
      <c r="H44" s="335"/>
      <c r="I44" s="335"/>
      <c r="K44" s="500"/>
      <c r="L44" s="321"/>
      <c r="M44" s="323"/>
      <c r="N44" s="323"/>
    </row>
    <row r="45" spans="1:14" s="749" customFormat="1" ht="12" customHeight="1">
      <c r="A45" s="318"/>
      <c r="B45" s="324"/>
      <c r="C45" s="320"/>
      <c r="D45" s="320"/>
      <c r="E45" s="320"/>
      <c r="F45" s="320"/>
      <c r="G45" s="739"/>
      <c r="H45" s="335"/>
      <c r="I45" s="335"/>
      <c r="K45" s="500"/>
      <c r="L45" s="321"/>
      <c r="M45" s="323"/>
      <c r="N45" s="323"/>
    </row>
    <row r="46" spans="1:14" s="749" customFormat="1" ht="12" customHeight="1">
      <c r="A46" s="318"/>
      <c r="B46" s="324"/>
      <c r="C46" s="320"/>
      <c r="D46" s="320"/>
      <c r="E46" s="320"/>
      <c r="F46" s="320"/>
      <c r="G46" s="739"/>
      <c r="H46" s="335"/>
      <c r="I46" s="335"/>
      <c r="K46" s="500"/>
      <c r="L46" s="321"/>
      <c r="M46" s="323"/>
      <c r="N46" s="323"/>
    </row>
    <row r="47" spans="1:14" s="749" customFormat="1" ht="12" customHeight="1">
      <c r="A47" s="318"/>
      <c r="B47" s="324"/>
      <c r="C47" s="320"/>
      <c r="D47" s="320"/>
      <c r="E47" s="320"/>
      <c r="F47" s="320"/>
      <c r="G47" s="739"/>
      <c r="H47" s="335"/>
      <c r="I47" s="335"/>
      <c r="K47" s="500"/>
      <c r="L47" s="321"/>
      <c r="M47" s="323"/>
      <c r="N47" s="323"/>
    </row>
    <row r="48" spans="1:14" s="749" customFormat="1" ht="12" customHeight="1">
      <c r="A48" s="318"/>
      <c r="B48" s="324"/>
      <c r="C48" s="320"/>
      <c r="D48" s="320"/>
      <c r="E48" s="320"/>
      <c r="F48" s="320"/>
      <c r="G48" s="739"/>
      <c r="H48" s="335"/>
      <c r="I48" s="335"/>
      <c r="K48" s="500"/>
      <c r="L48" s="321"/>
      <c r="M48" s="323"/>
      <c r="N48" s="323"/>
    </row>
    <row r="49" spans="1:14" s="749" customFormat="1" ht="12" customHeight="1">
      <c r="A49" s="318"/>
      <c r="B49" s="324"/>
      <c r="C49" s="320"/>
      <c r="D49" s="320"/>
      <c r="E49" s="320"/>
      <c r="F49" s="320"/>
      <c r="G49" s="739"/>
      <c r="H49" s="335"/>
      <c r="I49" s="335"/>
      <c r="K49" s="500"/>
      <c r="L49" s="321"/>
      <c r="M49" s="323"/>
      <c r="N49" s="323"/>
    </row>
    <row r="50" spans="1:14" s="749" customFormat="1" ht="12" customHeight="1">
      <c r="A50" s="318"/>
      <c r="B50" s="324"/>
      <c r="C50" s="320"/>
      <c r="D50" s="320"/>
      <c r="E50" s="320"/>
      <c r="F50" s="320"/>
      <c r="G50" s="739"/>
      <c r="H50" s="335"/>
      <c r="I50" s="335"/>
      <c r="K50" s="500"/>
      <c r="L50" s="321"/>
      <c r="M50" s="323"/>
      <c r="N50" s="323"/>
    </row>
    <row r="51" spans="1:14" s="749" customFormat="1" ht="12" customHeight="1">
      <c r="A51" s="318"/>
      <c r="B51" s="324"/>
      <c r="C51" s="320"/>
      <c r="D51" s="320"/>
      <c r="E51" s="320"/>
      <c r="F51" s="320"/>
      <c r="G51" s="739"/>
      <c r="H51" s="335"/>
      <c r="I51" s="335"/>
      <c r="K51" s="500"/>
      <c r="L51" s="321"/>
      <c r="M51" s="323"/>
      <c r="N51" s="323"/>
    </row>
    <row r="52" spans="1:14" s="749" customFormat="1" ht="12" customHeight="1">
      <c r="A52" s="318"/>
      <c r="B52" s="324"/>
      <c r="C52" s="320"/>
      <c r="D52" s="320"/>
      <c r="E52" s="320"/>
      <c r="F52" s="320"/>
      <c r="G52" s="739"/>
      <c r="H52" s="335"/>
      <c r="I52" s="335"/>
      <c r="K52" s="500"/>
      <c r="L52" s="321"/>
      <c r="M52" s="323"/>
      <c r="N52" s="323"/>
    </row>
    <row r="53" spans="1:14" s="749" customFormat="1" ht="12" customHeight="1">
      <c r="A53" s="318"/>
      <c r="B53" s="324"/>
      <c r="C53" s="320"/>
      <c r="D53" s="320"/>
      <c r="E53" s="320"/>
      <c r="F53" s="320"/>
      <c r="G53" s="739"/>
      <c r="H53" s="335"/>
      <c r="I53" s="335"/>
      <c r="K53" s="500"/>
      <c r="L53" s="321"/>
      <c r="M53" s="323"/>
      <c r="N53" s="323"/>
    </row>
    <row r="54" spans="1:14" s="749" customFormat="1" ht="12" customHeight="1">
      <c r="A54" s="318"/>
      <c r="B54" s="324"/>
      <c r="C54" s="320"/>
      <c r="D54" s="320"/>
      <c r="E54" s="320"/>
      <c r="F54" s="320"/>
      <c r="G54" s="739"/>
      <c r="H54" s="335"/>
      <c r="I54" s="335"/>
      <c r="K54" s="500"/>
      <c r="L54" s="321"/>
      <c r="M54" s="323"/>
      <c r="N54" s="323"/>
    </row>
    <row r="55" spans="1:14" s="749" customFormat="1" ht="12" customHeight="1">
      <c r="A55" s="318"/>
      <c r="B55" s="324"/>
      <c r="C55" s="320"/>
      <c r="D55" s="320"/>
      <c r="E55" s="320"/>
      <c r="F55" s="320"/>
      <c r="G55" s="739"/>
      <c r="H55" s="335"/>
      <c r="I55" s="335"/>
      <c r="K55" s="500"/>
      <c r="L55" s="321"/>
      <c r="M55" s="323"/>
      <c r="N55" s="323"/>
    </row>
    <row r="56" spans="1:14" s="749" customFormat="1" ht="12" customHeight="1">
      <c r="A56" s="318"/>
      <c r="B56" s="324"/>
      <c r="C56" s="320"/>
      <c r="D56" s="320"/>
      <c r="E56" s="320"/>
      <c r="F56" s="320"/>
      <c r="G56" s="739"/>
      <c r="H56" s="335"/>
      <c r="I56" s="335"/>
      <c r="K56" s="500"/>
      <c r="L56" s="321"/>
      <c r="M56" s="323"/>
      <c r="N56" s="323"/>
    </row>
    <row r="57" spans="1:14" s="749" customFormat="1" ht="12" customHeight="1">
      <c r="A57" s="318"/>
      <c r="B57" s="324"/>
      <c r="C57" s="320"/>
      <c r="D57" s="320"/>
      <c r="E57" s="320"/>
      <c r="F57" s="320"/>
      <c r="G57" s="739"/>
      <c r="H57" s="335"/>
      <c r="I57" s="335"/>
      <c r="K57" s="500"/>
      <c r="L57" s="321"/>
      <c r="M57" s="323"/>
      <c r="N57" s="323"/>
    </row>
    <row r="58" spans="1:14" s="749" customFormat="1" ht="12" customHeight="1">
      <c r="A58" s="318"/>
      <c r="B58" s="324"/>
      <c r="C58" s="320"/>
      <c r="D58" s="320"/>
      <c r="E58" s="320"/>
      <c r="F58" s="320"/>
      <c r="G58" s="739"/>
      <c r="H58" s="335"/>
      <c r="I58" s="335"/>
      <c r="K58" s="500"/>
      <c r="L58" s="321"/>
      <c r="M58" s="323"/>
      <c r="N58" s="323"/>
    </row>
    <row r="59" spans="1:14" s="749" customFormat="1" ht="12" customHeight="1">
      <c r="A59" s="318"/>
      <c r="B59" s="324"/>
      <c r="C59" s="320"/>
      <c r="D59" s="320"/>
      <c r="E59" s="320"/>
      <c r="F59" s="320"/>
      <c r="G59" s="739"/>
      <c r="H59" s="335"/>
      <c r="I59" s="335"/>
      <c r="K59" s="500"/>
      <c r="L59" s="321"/>
      <c r="M59" s="323"/>
      <c r="N59" s="323"/>
    </row>
    <row r="60" spans="1:14" s="749" customFormat="1" ht="12" customHeight="1">
      <c r="A60" s="318"/>
      <c r="B60" s="324"/>
      <c r="C60" s="320"/>
      <c r="D60" s="320"/>
      <c r="E60" s="320"/>
      <c r="F60" s="320"/>
      <c r="G60" s="739"/>
      <c r="H60" s="335"/>
      <c r="I60" s="335"/>
      <c r="K60" s="500"/>
      <c r="L60" s="321"/>
      <c r="M60" s="323"/>
      <c r="N60" s="323"/>
    </row>
    <row r="61" spans="1:14" s="749" customFormat="1" ht="12" customHeight="1">
      <c r="A61" s="318"/>
      <c r="B61" s="324"/>
      <c r="C61" s="320"/>
      <c r="D61" s="320"/>
      <c r="E61" s="320"/>
      <c r="F61" s="320"/>
      <c r="G61" s="739"/>
      <c r="H61" s="335"/>
      <c r="I61" s="335"/>
      <c r="K61" s="500"/>
      <c r="L61" s="321"/>
      <c r="M61" s="323"/>
      <c r="N61" s="323"/>
    </row>
    <row r="62" spans="1:14" s="749" customFormat="1" ht="12" customHeight="1">
      <c r="A62" s="318"/>
      <c r="B62" s="324"/>
      <c r="C62" s="320"/>
      <c r="D62" s="320"/>
      <c r="E62" s="320"/>
      <c r="F62" s="320"/>
      <c r="G62" s="739"/>
      <c r="H62" s="335"/>
      <c r="I62" s="335"/>
      <c r="K62" s="500"/>
      <c r="L62" s="321"/>
      <c r="M62" s="323"/>
      <c r="N62" s="323"/>
    </row>
    <row r="63" spans="1:14" s="749" customFormat="1" ht="12" customHeight="1">
      <c r="A63" s="318"/>
      <c r="B63" s="324"/>
      <c r="C63" s="320"/>
      <c r="D63" s="320"/>
      <c r="E63" s="320"/>
      <c r="F63" s="320"/>
      <c r="G63" s="739"/>
      <c r="H63" s="335"/>
      <c r="I63" s="335"/>
      <c r="K63" s="500"/>
      <c r="L63" s="321"/>
      <c r="M63" s="323"/>
      <c r="N63" s="323"/>
    </row>
    <row r="64" spans="1:14" s="749" customFormat="1" ht="12" customHeight="1">
      <c r="A64" s="318"/>
      <c r="B64" s="324"/>
      <c r="C64" s="320"/>
      <c r="D64" s="320"/>
      <c r="E64" s="320"/>
      <c r="F64" s="320"/>
      <c r="G64" s="739"/>
      <c r="H64" s="335"/>
      <c r="I64" s="335"/>
      <c r="K64" s="500"/>
      <c r="L64" s="321"/>
      <c r="M64" s="323"/>
      <c r="N64" s="323"/>
    </row>
    <row r="65" spans="1:14" s="749" customFormat="1" ht="12" customHeight="1">
      <c r="A65" s="318"/>
      <c r="B65" s="324"/>
      <c r="C65" s="320"/>
      <c r="D65" s="320"/>
      <c r="E65" s="320"/>
      <c r="F65" s="320"/>
      <c r="G65" s="739"/>
      <c r="H65" s="335"/>
      <c r="I65" s="335"/>
      <c r="K65" s="500"/>
      <c r="L65" s="321"/>
      <c r="M65" s="323"/>
      <c r="N65" s="323"/>
    </row>
    <row r="66" spans="1:14" s="749" customFormat="1" ht="12" customHeight="1">
      <c r="A66" s="318"/>
      <c r="B66" s="324"/>
      <c r="C66" s="320"/>
      <c r="D66" s="320"/>
      <c r="E66" s="320"/>
      <c r="F66" s="320"/>
      <c r="G66" s="739"/>
      <c r="H66" s="335"/>
      <c r="I66" s="335"/>
      <c r="K66" s="500"/>
      <c r="L66" s="321"/>
      <c r="M66" s="323"/>
      <c r="N66" s="323"/>
    </row>
    <row r="67" spans="1:14" s="749" customFormat="1" ht="12" customHeight="1">
      <c r="A67" s="318"/>
      <c r="B67" s="324"/>
      <c r="C67" s="320"/>
      <c r="D67" s="320"/>
      <c r="E67" s="320"/>
      <c r="F67" s="320"/>
      <c r="G67" s="739"/>
      <c r="H67" s="335"/>
      <c r="I67" s="335"/>
      <c r="K67" s="500"/>
      <c r="L67" s="321"/>
      <c r="M67" s="323"/>
      <c r="N67" s="323"/>
    </row>
    <row r="68" spans="1:14" s="749" customFormat="1" ht="12" customHeight="1">
      <c r="A68" s="318"/>
      <c r="B68" s="324"/>
      <c r="C68" s="320"/>
      <c r="D68" s="320"/>
      <c r="E68" s="320"/>
      <c r="F68" s="320"/>
      <c r="G68" s="739"/>
      <c r="H68" s="335"/>
      <c r="I68" s="335"/>
      <c r="K68" s="500"/>
      <c r="L68" s="321"/>
      <c r="M68" s="323"/>
      <c r="N68" s="323"/>
    </row>
    <row r="69" spans="1:14" s="749" customFormat="1" ht="12" customHeight="1">
      <c r="A69" s="318"/>
      <c r="B69" s="324"/>
      <c r="C69" s="320"/>
      <c r="D69" s="320"/>
      <c r="E69" s="320"/>
      <c r="F69" s="320"/>
      <c r="G69" s="739"/>
      <c r="H69" s="335"/>
      <c r="I69" s="335"/>
      <c r="K69" s="500"/>
      <c r="L69" s="321"/>
      <c r="M69" s="323"/>
      <c r="N69" s="323"/>
    </row>
    <row r="70" spans="1:14" s="749" customFormat="1" ht="12" customHeight="1">
      <c r="A70" s="318"/>
      <c r="B70" s="324"/>
      <c r="C70" s="320"/>
      <c r="D70" s="320"/>
      <c r="E70" s="320"/>
      <c r="F70" s="320"/>
      <c r="G70" s="739"/>
      <c r="H70" s="335"/>
      <c r="I70" s="335"/>
      <c r="K70" s="500"/>
      <c r="L70" s="321"/>
      <c r="M70" s="323"/>
      <c r="N70" s="323"/>
    </row>
    <row r="71" spans="1:14" s="749" customFormat="1" ht="12" customHeight="1">
      <c r="A71" s="318"/>
      <c r="B71" s="324"/>
      <c r="C71" s="320"/>
      <c r="D71" s="320"/>
      <c r="E71" s="320"/>
      <c r="F71" s="320"/>
      <c r="G71" s="739"/>
      <c r="H71" s="335"/>
      <c r="I71" s="335"/>
      <c r="K71" s="500"/>
      <c r="L71" s="321"/>
      <c r="M71" s="323"/>
      <c r="N71" s="323"/>
    </row>
    <row r="72" spans="1:14" s="749" customFormat="1" ht="12" customHeight="1">
      <c r="A72" s="318"/>
      <c r="B72" s="324"/>
      <c r="C72" s="320"/>
      <c r="D72" s="320"/>
      <c r="E72" s="320"/>
      <c r="F72" s="320"/>
      <c r="G72" s="739"/>
      <c r="H72" s="335"/>
      <c r="I72" s="335"/>
      <c r="K72" s="500"/>
      <c r="L72" s="321"/>
      <c r="M72" s="323"/>
      <c r="N72" s="323"/>
    </row>
    <row r="73" spans="1:14" s="749" customFormat="1" ht="12" customHeight="1">
      <c r="A73" s="318"/>
      <c r="B73" s="324"/>
      <c r="C73" s="320"/>
      <c r="D73" s="320"/>
      <c r="E73" s="320"/>
      <c r="F73" s="320"/>
      <c r="G73" s="739"/>
      <c r="H73" s="335"/>
      <c r="I73" s="335"/>
      <c r="K73" s="500"/>
      <c r="L73" s="321"/>
      <c r="M73" s="323"/>
      <c r="N73" s="323"/>
    </row>
    <row r="74" spans="1:14" s="749" customFormat="1" ht="12" customHeight="1">
      <c r="A74" s="318"/>
      <c r="B74" s="324"/>
      <c r="C74" s="320"/>
      <c r="D74" s="320"/>
      <c r="E74" s="320"/>
      <c r="F74" s="320"/>
      <c r="G74" s="739"/>
      <c r="H74" s="335"/>
      <c r="I74" s="335"/>
      <c r="K74" s="500"/>
      <c r="L74" s="321"/>
      <c r="M74" s="323"/>
      <c r="N74" s="323"/>
    </row>
    <row r="75" spans="1:14" s="749" customFormat="1" ht="12" customHeight="1">
      <c r="A75" s="318"/>
      <c r="B75" s="324"/>
      <c r="C75" s="320"/>
      <c r="D75" s="320"/>
      <c r="E75" s="320"/>
      <c r="F75" s="320"/>
      <c r="G75" s="739"/>
      <c r="H75" s="335"/>
      <c r="I75" s="335"/>
      <c r="K75" s="500"/>
      <c r="L75" s="321"/>
      <c r="M75" s="323"/>
      <c r="N75" s="323"/>
    </row>
    <row r="76" spans="1:14" s="749" customFormat="1" ht="12" customHeight="1">
      <c r="A76" s="318"/>
      <c r="B76" s="324"/>
      <c r="C76" s="320"/>
      <c r="D76" s="320"/>
      <c r="E76" s="320"/>
      <c r="F76" s="320"/>
      <c r="G76" s="739"/>
      <c r="H76" s="335"/>
      <c r="I76" s="335"/>
      <c r="K76" s="500"/>
      <c r="L76" s="321"/>
      <c r="M76" s="323"/>
      <c r="N76" s="323"/>
    </row>
    <row r="77" spans="1:14" s="749" customFormat="1" ht="12" customHeight="1">
      <c r="A77" s="318"/>
      <c r="B77" s="324"/>
      <c r="C77" s="320"/>
      <c r="D77" s="320"/>
      <c r="E77" s="320"/>
      <c r="F77" s="320"/>
      <c r="G77" s="739"/>
      <c r="H77" s="335"/>
      <c r="I77" s="335"/>
      <c r="K77" s="500"/>
      <c r="L77" s="321"/>
      <c r="M77" s="323"/>
      <c r="N77" s="323"/>
    </row>
    <row r="78" spans="1:14" s="749" customFormat="1" ht="12" customHeight="1">
      <c r="A78" s="318"/>
      <c r="B78" s="324"/>
      <c r="C78" s="320"/>
      <c r="D78" s="320"/>
      <c r="E78" s="320"/>
      <c r="F78" s="320"/>
      <c r="G78" s="739"/>
      <c r="H78" s="335"/>
      <c r="I78" s="335"/>
      <c r="K78" s="500"/>
      <c r="L78" s="321"/>
      <c r="M78" s="323"/>
      <c r="N78" s="323"/>
    </row>
    <row r="79" spans="1:14" s="749" customFormat="1" ht="12" customHeight="1">
      <c r="A79" s="318"/>
      <c r="B79" s="324"/>
      <c r="C79" s="320"/>
      <c r="D79" s="320"/>
      <c r="E79" s="320"/>
      <c r="F79" s="320"/>
      <c r="G79" s="739"/>
      <c r="H79" s="335"/>
      <c r="I79" s="335"/>
      <c r="K79" s="500"/>
      <c r="L79" s="321"/>
      <c r="M79" s="323"/>
      <c r="N79" s="323"/>
    </row>
    <row r="80" spans="1:14" s="749" customFormat="1" ht="12" customHeight="1">
      <c r="A80" s="318"/>
      <c r="B80" s="324"/>
      <c r="C80" s="320"/>
      <c r="D80" s="320"/>
      <c r="E80" s="320"/>
      <c r="F80" s="320"/>
      <c r="G80" s="739"/>
      <c r="H80" s="335"/>
      <c r="I80" s="335"/>
      <c r="K80" s="500"/>
      <c r="L80" s="321"/>
      <c r="M80" s="323"/>
      <c r="N80" s="323"/>
    </row>
    <row r="81" spans="1:14" s="749" customFormat="1" ht="12" customHeight="1">
      <c r="A81" s="318"/>
      <c r="B81" s="324"/>
      <c r="C81" s="320"/>
      <c r="D81" s="320"/>
      <c r="E81" s="320"/>
      <c r="F81" s="320"/>
      <c r="G81" s="739"/>
      <c r="H81" s="335"/>
      <c r="I81" s="335"/>
      <c r="K81" s="500"/>
      <c r="L81" s="321"/>
      <c r="M81" s="323"/>
      <c r="N81" s="323"/>
    </row>
    <row r="82" spans="1:14" s="749" customFormat="1" ht="12" customHeight="1">
      <c r="A82" s="318"/>
      <c r="B82" s="324"/>
      <c r="C82" s="320"/>
      <c r="D82" s="320"/>
      <c r="E82" s="320"/>
      <c r="F82" s="320"/>
      <c r="G82" s="739"/>
      <c r="H82" s="335"/>
      <c r="I82" s="335"/>
      <c r="K82" s="500"/>
      <c r="L82" s="321"/>
      <c r="M82" s="323"/>
      <c r="N82" s="323"/>
    </row>
    <row r="83" spans="1:14" s="749" customFormat="1" ht="12" customHeight="1">
      <c r="A83" s="318"/>
      <c r="B83" s="324"/>
      <c r="C83" s="320"/>
      <c r="D83" s="320"/>
      <c r="E83" s="320"/>
      <c r="F83" s="320"/>
      <c r="G83" s="739"/>
      <c r="H83" s="335"/>
      <c r="I83" s="335"/>
      <c r="K83" s="500"/>
      <c r="L83" s="321"/>
      <c r="M83" s="323"/>
      <c r="N83" s="323"/>
    </row>
    <row r="84" spans="1:14" s="749" customFormat="1" ht="12" customHeight="1">
      <c r="A84" s="318"/>
      <c r="B84" s="324"/>
      <c r="C84" s="320"/>
      <c r="D84" s="320"/>
      <c r="E84" s="320"/>
      <c r="F84" s="320"/>
      <c r="G84" s="739"/>
      <c r="H84" s="335"/>
      <c r="I84" s="335"/>
      <c r="K84" s="500"/>
      <c r="L84" s="321"/>
      <c r="M84" s="323"/>
      <c r="N84" s="323"/>
    </row>
    <row r="85" spans="1:14" s="749" customFormat="1" ht="12" customHeight="1">
      <c r="A85" s="318"/>
      <c r="B85" s="324"/>
      <c r="C85" s="320"/>
      <c r="D85" s="320"/>
      <c r="E85" s="320"/>
      <c r="F85" s="320"/>
      <c r="G85" s="739"/>
      <c r="H85" s="335"/>
      <c r="I85" s="335"/>
      <c r="K85" s="500"/>
      <c r="L85" s="321"/>
      <c r="M85" s="323"/>
      <c r="N85" s="323"/>
    </row>
    <row r="86" spans="1:14" s="749" customFormat="1" ht="12" customHeight="1">
      <c r="A86" s="318"/>
      <c r="B86" s="324"/>
      <c r="C86" s="320"/>
      <c r="D86" s="320"/>
      <c r="E86" s="320"/>
      <c r="F86" s="320"/>
      <c r="G86" s="739"/>
      <c r="H86" s="335"/>
      <c r="I86" s="335"/>
      <c r="K86" s="500"/>
      <c r="L86" s="321"/>
      <c r="M86" s="323"/>
      <c r="N86" s="323"/>
    </row>
    <row r="87" spans="1:14" s="749" customFormat="1" ht="12" customHeight="1">
      <c r="A87" s="318"/>
      <c r="B87" s="324"/>
      <c r="C87" s="320"/>
      <c r="D87" s="320"/>
      <c r="E87" s="320"/>
      <c r="F87" s="320"/>
      <c r="G87" s="739"/>
      <c r="H87" s="335"/>
      <c r="I87" s="335"/>
      <c r="K87" s="500"/>
      <c r="L87" s="321"/>
      <c r="M87" s="323"/>
      <c r="N87" s="323"/>
    </row>
    <row r="88" spans="1:14" s="749" customFormat="1" ht="12" customHeight="1">
      <c r="A88" s="318"/>
      <c r="B88" s="324"/>
      <c r="C88" s="320"/>
      <c r="D88" s="320"/>
      <c r="E88" s="320"/>
      <c r="F88" s="320"/>
      <c r="G88" s="739"/>
      <c r="H88" s="335"/>
      <c r="I88" s="335"/>
      <c r="K88" s="500"/>
      <c r="L88" s="321"/>
      <c r="M88" s="323"/>
      <c r="N88" s="323"/>
    </row>
    <row r="89" spans="1:14" s="749" customFormat="1" ht="12" customHeight="1">
      <c r="A89" s="318"/>
      <c r="B89" s="324"/>
      <c r="C89" s="320"/>
      <c r="D89" s="320"/>
      <c r="E89" s="320"/>
      <c r="F89" s="320"/>
      <c r="G89" s="739"/>
      <c r="H89" s="335"/>
      <c r="I89" s="335"/>
      <c r="K89" s="500"/>
      <c r="L89" s="321"/>
      <c r="M89" s="323"/>
      <c r="N89" s="323"/>
    </row>
    <row r="90" spans="1:14" s="749" customFormat="1" ht="12" customHeight="1">
      <c r="A90" s="318"/>
      <c r="B90" s="324"/>
      <c r="C90" s="320"/>
      <c r="D90" s="320"/>
      <c r="E90" s="320"/>
      <c r="F90" s="320"/>
      <c r="G90" s="739"/>
      <c r="H90" s="335"/>
      <c r="I90" s="335"/>
      <c r="K90" s="500"/>
      <c r="L90" s="321"/>
      <c r="M90" s="323"/>
      <c r="N90" s="323"/>
    </row>
    <row r="91" spans="1:14" s="749" customFormat="1" ht="12" customHeight="1">
      <c r="A91" s="318"/>
      <c r="B91" s="324"/>
      <c r="C91" s="320"/>
      <c r="D91" s="320"/>
      <c r="E91" s="320"/>
      <c r="F91" s="320"/>
      <c r="G91" s="739"/>
      <c r="H91" s="335"/>
      <c r="I91" s="335"/>
      <c r="K91" s="500"/>
      <c r="L91" s="321"/>
      <c r="M91" s="323"/>
      <c r="N91" s="323"/>
    </row>
    <row r="92" spans="1:14" s="749" customFormat="1" ht="12" customHeight="1">
      <c r="A92" s="318"/>
      <c r="B92" s="324"/>
      <c r="C92" s="320"/>
      <c r="D92" s="320"/>
      <c r="E92" s="320"/>
      <c r="F92" s="320"/>
      <c r="G92" s="739"/>
      <c r="H92" s="335"/>
      <c r="I92" s="335"/>
      <c r="K92" s="500"/>
      <c r="L92" s="321"/>
      <c r="M92" s="323"/>
      <c r="N92" s="323"/>
    </row>
    <row r="93" spans="1:14" s="749" customFormat="1" ht="12" customHeight="1">
      <c r="A93" s="318"/>
      <c r="B93" s="324"/>
      <c r="C93" s="320"/>
      <c r="D93" s="320"/>
      <c r="E93" s="320"/>
      <c r="F93" s="320"/>
      <c r="G93" s="739"/>
      <c r="H93" s="335"/>
      <c r="I93" s="335"/>
      <c r="K93" s="500"/>
      <c r="L93" s="321"/>
      <c r="M93" s="323"/>
      <c r="N93" s="323"/>
    </row>
    <row r="94" spans="1:14" s="749" customFormat="1" ht="12" customHeight="1">
      <c r="A94" s="318"/>
      <c r="B94" s="324"/>
      <c r="C94" s="320"/>
      <c r="D94" s="320"/>
      <c r="E94" s="320"/>
      <c r="F94" s="320"/>
      <c r="G94" s="739"/>
      <c r="H94" s="335"/>
      <c r="I94" s="335"/>
      <c r="K94" s="500"/>
      <c r="L94" s="321"/>
      <c r="M94" s="323"/>
      <c r="N94" s="323"/>
    </row>
    <row r="95" spans="1:14" s="749" customFormat="1" ht="12" customHeight="1">
      <c r="A95" s="318"/>
      <c r="B95" s="324"/>
      <c r="C95" s="320"/>
      <c r="D95" s="320"/>
      <c r="E95" s="320"/>
      <c r="F95" s="320"/>
      <c r="G95" s="739"/>
      <c r="H95" s="335"/>
      <c r="I95" s="335"/>
      <c r="K95" s="500"/>
      <c r="L95" s="321"/>
      <c r="M95" s="323"/>
      <c r="N95" s="323"/>
    </row>
    <row r="96" spans="1:14" s="749" customFormat="1" ht="12" customHeight="1">
      <c r="A96" s="318"/>
      <c r="B96" s="324"/>
      <c r="C96" s="320"/>
      <c r="D96" s="320"/>
      <c r="E96" s="320"/>
      <c r="F96" s="320"/>
      <c r="G96" s="739"/>
      <c r="H96" s="335"/>
      <c r="I96" s="335"/>
      <c r="K96" s="500"/>
      <c r="L96" s="321"/>
      <c r="M96" s="323"/>
      <c r="N96" s="323"/>
    </row>
    <row r="97" spans="1:14" s="749" customFormat="1" ht="12" customHeight="1">
      <c r="A97" s="318"/>
      <c r="B97" s="324"/>
      <c r="C97" s="320"/>
      <c r="D97" s="320"/>
      <c r="E97" s="320"/>
      <c r="F97" s="320"/>
      <c r="G97" s="739"/>
      <c r="H97" s="335"/>
      <c r="I97" s="335"/>
      <c r="K97" s="500"/>
      <c r="L97" s="321"/>
      <c r="M97" s="323"/>
      <c r="N97" s="323"/>
    </row>
    <row r="98" spans="1:14" s="749" customFormat="1" ht="12" customHeight="1">
      <c r="A98" s="318"/>
      <c r="B98" s="324"/>
      <c r="C98" s="320"/>
      <c r="D98" s="320"/>
      <c r="E98" s="320"/>
      <c r="F98" s="320"/>
      <c r="G98" s="739"/>
      <c r="H98" s="335"/>
      <c r="I98" s="335"/>
      <c r="K98" s="500"/>
      <c r="L98" s="321"/>
      <c r="M98" s="323"/>
      <c r="N98" s="323"/>
    </row>
    <row r="99" spans="1:14" s="749" customFormat="1" ht="12" customHeight="1">
      <c r="A99" s="318"/>
      <c r="B99" s="324"/>
      <c r="C99" s="320"/>
      <c r="D99" s="320"/>
      <c r="E99" s="320"/>
      <c r="F99" s="320"/>
      <c r="G99" s="739"/>
      <c r="H99" s="335"/>
      <c r="I99" s="335"/>
      <c r="K99" s="500"/>
      <c r="L99" s="321"/>
      <c r="M99" s="323"/>
      <c r="N99" s="323"/>
    </row>
    <row r="100" spans="1:14" s="749" customFormat="1" ht="12" customHeight="1">
      <c r="A100" s="318"/>
      <c r="B100" s="324"/>
      <c r="C100" s="320"/>
      <c r="D100" s="320"/>
      <c r="E100" s="320"/>
      <c r="F100" s="320"/>
      <c r="G100" s="739"/>
      <c r="H100" s="335"/>
      <c r="I100" s="335"/>
      <c r="K100" s="500"/>
      <c r="L100" s="321"/>
      <c r="M100" s="323"/>
      <c r="N100" s="323"/>
    </row>
    <row r="101" spans="1:14" s="749" customFormat="1" ht="12" customHeight="1">
      <c r="A101" s="318"/>
      <c r="B101" s="324"/>
      <c r="C101" s="320"/>
      <c r="D101" s="320"/>
      <c r="E101" s="320"/>
      <c r="F101" s="320"/>
      <c r="G101" s="739"/>
      <c r="H101" s="335"/>
      <c r="I101" s="335"/>
      <c r="K101" s="500"/>
      <c r="L101" s="321"/>
      <c r="M101" s="323"/>
      <c r="N101" s="323"/>
    </row>
    <row r="102" spans="1:14" s="749" customFormat="1" ht="12" customHeight="1">
      <c r="A102" s="318"/>
      <c r="B102" s="324"/>
      <c r="C102" s="320"/>
      <c r="D102" s="320"/>
      <c r="E102" s="320"/>
      <c r="F102" s="320"/>
      <c r="G102" s="739"/>
      <c r="H102" s="335"/>
      <c r="I102" s="335"/>
      <c r="K102" s="500"/>
      <c r="L102" s="321"/>
      <c r="M102" s="323"/>
      <c r="N102" s="323"/>
    </row>
    <row r="103" spans="1:14" s="749" customFormat="1" ht="12" customHeight="1">
      <c r="A103" s="318"/>
      <c r="B103" s="324"/>
      <c r="C103" s="320"/>
      <c r="D103" s="320"/>
      <c r="E103" s="320"/>
      <c r="F103" s="320"/>
      <c r="G103" s="739"/>
      <c r="H103" s="335"/>
      <c r="I103" s="335"/>
      <c r="K103" s="500"/>
      <c r="L103" s="321"/>
      <c r="M103" s="323"/>
      <c r="N103" s="323"/>
    </row>
    <row r="104" spans="1:14" s="749" customFormat="1" ht="12" customHeight="1">
      <c r="A104" s="318"/>
      <c r="B104" s="324"/>
      <c r="C104" s="320"/>
      <c r="D104" s="320"/>
      <c r="E104" s="320"/>
      <c r="F104" s="320"/>
      <c r="G104" s="739"/>
      <c r="H104" s="335"/>
      <c r="I104" s="335"/>
      <c r="K104" s="500"/>
      <c r="L104" s="321"/>
      <c r="M104" s="323"/>
      <c r="N104" s="323"/>
    </row>
    <row r="105" spans="1:14" s="749" customFormat="1" ht="12" customHeight="1">
      <c r="A105" s="318"/>
      <c r="B105" s="324"/>
      <c r="C105" s="320"/>
      <c r="D105" s="320"/>
      <c r="E105" s="320"/>
      <c r="F105" s="320"/>
      <c r="G105" s="739"/>
      <c r="H105" s="335"/>
      <c r="I105" s="335"/>
      <c r="K105" s="500"/>
      <c r="L105" s="321"/>
      <c r="M105" s="323"/>
      <c r="N105" s="323"/>
    </row>
    <row r="106" spans="1:14" s="749" customFormat="1" ht="12" customHeight="1">
      <c r="A106" s="318"/>
      <c r="B106" s="324"/>
      <c r="C106" s="320"/>
      <c r="D106" s="320"/>
      <c r="E106" s="320"/>
      <c r="F106" s="320"/>
      <c r="G106" s="739"/>
      <c r="H106" s="335"/>
      <c r="I106" s="335"/>
      <c r="K106" s="500"/>
      <c r="L106" s="321"/>
      <c r="M106" s="323"/>
      <c r="N106" s="323"/>
    </row>
    <row r="107" spans="1:14" s="749" customFormat="1" ht="12" customHeight="1">
      <c r="A107" s="318"/>
      <c r="B107" s="324"/>
      <c r="C107" s="320"/>
      <c r="D107" s="320"/>
      <c r="E107" s="320"/>
      <c r="F107" s="320"/>
      <c r="G107" s="739"/>
      <c r="H107" s="335"/>
      <c r="I107" s="335"/>
      <c r="K107" s="500"/>
      <c r="L107" s="321"/>
      <c r="M107" s="323"/>
      <c r="N107" s="323"/>
    </row>
    <row r="108" spans="1:14" s="749" customFormat="1" ht="12" customHeight="1">
      <c r="A108" s="318"/>
      <c r="B108" s="324"/>
      <c r="C108" s="320"/>
      <c r="D108" s="320"/>
      <c r="E108" s="320"/>
      <c r="F108" s="320"/>
      <c r="G108" s="739"/>
      <c r="H108" s="335"/>
      <c r="I108" s="335"/>
      <c r="K108" s="500"/>
      <c r="L108" s="321"/>
      <c r="M108" s="323"/>
      <c r="N108" s="323"/>
    </row>
    <row r="109" spans="1:14" s="749" customFormat="1" ht="12" customHeight="1">
      <c r="A109" s="318"/>
      <c r="B109" s="324"/>
      <c r="C109" s="320"/>
      <c r="D109" s="320"/>
      <c r="E109" s="320"/>
      <c r="F109" s="320"/>
      <c r="G109" s="739"/>
      <c r="H109" s="335"/>
      <c r="I109" s="335"/>
      <c r="K109" s="500"/>
      <c r="L109" s="321"/>
      <c r="M109" s="323"/>
      <c r="N109" s="323"/>
    </row>
    <row r="110" spans="1:14" s="749" customFormat="1" ht="12" customHeight="1">
      <c r="A110" s="318"/>
      <c r="B110" s="324"/>
      <c r="C110" s="320"/>
      <c r="D110" s="320"/>
      <c r="E110" s="320"/>
      <c r="F110" s="320"/>
      <c r="G110" s="739"/>
      <c r="H110" s="335"/>
      <c r="I110" s="335"/>
      <c r="K110" s="500"/>
      <c r="L110" s="321"/>
      <c r="M110" s="323"/>
      <c r="N110" s="323"/>
    </row>
    <row r="111" spans="1:14" s="749" customFormat="1" ht="12" customHeight="1">
      <c r="A111" s="318"/>
      <c r="B111" s="324"/>
      <c r="C111" s="320"/>
      <c r="D111" s="320"/>
      <c r="E111" s="320"/>
      <c r="F111" s="320"/>
      <c r="G111" s="739"/>
      <c r="H111" s="335"/>
      <c r="I111" s="335"/>
      <c r="K111" s="500"/>
      <c r="L111" s="321"/>
      <c r="M111" s="323"/>
      <c r="N111" s="323"/>
    </row>
    <row r="112" spans="1:14" s="749" customFormat="1" ht="12" customHeight="1">
      <c r="A112" s="318"/>
      <c r="B112" s="324"/>
      <c r="C112" s="320"/>
      <c r="D112" s="320"/>
      <c r="E112" s="320"/>
      <c r="F112" s="320"/>
      <c r="G112" s="739"/>
      <c r="H112" s="335"/>
      <c r="I112" s="335"/>
      <c r="K112" s="500"/>
      <c r="L112" s="321"/>
      <c r="M112" s="323"/>
      <c r="N112" s="323"/>
    </row>
    <row r="113" spans="1:14" s="749" customFormat="1" ht="12" customHeight="1">
      <c r="A113" s="318"/>
      <c r="B113" s="324"/>
      <c r="C113" s="320"/>
      <c r="D113" s="320"/>
      <c r="E113" s="320"/>
      <c r="F113" s="320"/>
      <c r="G113" s="739"/>
      <c r="H113" s="335"/>
      <c r="I113" s="335"/>
      <c r="K113" s="500"/>
      <c r="L113" s="321"/>
      <c r="M113" s="323"/>
      <c r="N113" s="323"/>
    </row>
    <row r="114" spans="1:14" s="749" customFormat="1" ht="12" customHeight="1">
      <c r="A114" s="318"/>
      <c r="B114" s="324"/>
      <c r="C114" s="320"/>
      <c r="D114" s="320"/>
      <c r="E114" s="320"/>
      <c r="F114" s="320"/>
      <c r="G114" s="739"/>
      <c r="H114" s="335"/>
      <c r="I114" s="335"/>
      <c r="K114" s="500"/>
      <c r="L114" s="321"/>
      <c r="M114" s="323"/>
      <c r="N114" s="323"/>
    </row>
    <row r="115" spans="1:14" s="749" customFormat="1" ht="12" customHeight="1">
      <c r="A115" s="318"/>
      <c r="B115" s="324"/>
      <c r="C115" s="320"/>
      <c r="D115" s="320"/>
      <c r="E115" s="320"/>
      <c r="F115" s="320"/>
      <c r="G115" s="739"/>
      <c r="H115" s="335"/>
      <c r="I115" s="335"/>
      <c r="K115" s="500"/>
      <c r="L115" s="321"/>
      <c r="M115" s="323"/>
      <c r="N115" s="323"/>
    </row>
    <row r="116" spans="1:14" s="749" customFormat="1" ht="12" customHeight="1">
      <c r="A116" s="318"/>
      <c r="B116" s="324"/>
      <c r="C116" s="320"/>
      <c r="D116" s="320"/>
      <c r="E116" s="320"/>
      <c r="F116" s="320"/>
      <c r="G116" s="739"/>
      <c r="H116" s="335"/>
      <c r="I116" s="335"/>
      <c r="K116" s="500"/>
      <c r="L116" s="321"/>
      <c r="M116" s="323"/>
      <c r="N116" s="323"/>
    </row>
    <row r="117" spans="1:14" s="749" customFormat="1" ht="12" customHeight="1">
      <c r="A117" s="318"/>
      <c r="B117" s="324"/>
      <c r="C117" s="320"/>
      <c r="D117" s="320"/>
      <c r="E117" s="320"/>
      <c r="F117" s="320"/>
      <c r="G117" s="739"/>
      <c r="H117" s="335"/>
      <c r="I117" s="335"/>
      <c r="K117" s="500"/>
      <c r="L117" s="321"/>
      <c r="M117" s="323"/>
      <c r="N117" s="323"/>
    </row>
    <row r="118" spans="1:14" s="749" customFormat="1" ht="12" customHeight="1">
      <c r="A118" s="318"/>
      <c r="B118" s="324"/>
      <c r="C118" s="320"/>
      <c r="D118" s="320"/>
      <c r="E118" s="320"/>
      <c r="F118" s="320"/>
      <c r="G118" s="739"/>
      <c r="H118" s="335"/>
      <c r="I118" s="335"/>
      <c r="K118" s="500"/>
      <c r="L118" s="321"/>
      <c r="M118" s="323"/>
      <c r="N118" s="323"/>
    </row>
    <row r="119" spans="1:14" s="749" customFormat="1" ht="12" customHeight="1">
      <c r="A119" s="318"/>
      <c r="B119" s="324"/>
      <c r="C119" s="320"/>
      <c r="D119" s="320"/>
      <c r="E119" s="320"/>
      <c r="F119" s="320"/>
      <c r="G119" s="739"/>
      <c r="H119" s="335"/>
      <c r="I119" s="335"/>
      <c r="K119" s="500"/>
      <c r="L119" s="321"/>
      <c r="M119" s="323"/>
      <c r="N119" s="323"/>
    </row>
    <row r="120" spans="1:14" s="749" customFormat="1" ht="12" customHeight="1">
      <c r="A120" s="318"/>
      <c r="B120" s="324"/>
      <c r="C120" s="320"/>
      <c r="D120" s="320"/>
      <c r="E120" s="320"/>
      <c r="F120" s="320"/>
      <c r="G120" s="739"/>
      <c r="H120" s="335"/>
      <c r="I120" s="335"/>
      <c r="K120" s="500"/>
      <c r="L120" s="321"/>
      <c r="M120" s="323"/>
      <c r="N120" s="323"/>
    </row>
    <row r="121" spans="1:14" s="749" customFormat="1" ht="12" customHeight="1">
      <c r="A121" s="318"/>
      <c r="B121" s="324"/>
      <c r="C121" s="320"/>
      <c r="D121" s="320"/>
      <c r="E121" s="320"/>
      <c r="F121" s="320"/>
      <c r="G121" s="739"/>
      <c r="H121" s="335"/>
      <c r="I121" s="335"/>
      <c r="K121" s="500"/>
      <c r="L121" s="321"/>
      <c r="M121" s="323"/>
      <c r="N121" s="323"/>
    </row>
    <row r="122" spans="1:14" s="749" customFormat="1" ht="12" customHeight="1">
      <c r="A122" s="318"/>
      <c r="B122" s="324"/>
      <c r="C122" s="320"/>
      <c r="D122" s="320"/>
      <c r="E122" s="320"/>
      <c r="F122" s="320"/>
      <c r="G122" s="739"/>
      <c r="H122" s="335"/>
      <c r="I122" s="335"/>
      <c r="K122" s="500"/>
      <c r="L122" s="321"/>
      <c r="M122" s="323"/>
      <c r="N122" s="323"/>
    </row>
    <row r="123" spans="1:14" s="749" customFormat="1" ht="12" customHeight="1">
      <c r="A123" s="318"/>
      <c r="B123" s="324"/>
      <c r="C123" s="320"/>
      <c r="D123" s="320"/>
      <c r="E123" s="320"/>
      <c r="F123" s="320"/>
      <c r="G123" s="739"/>
      <c r="H123" s="335"/>
      <c r="I123" s="335"/>
      <c r="K123" s="500"/>
      <c r="L123" s="321"/>
      <c r="M123" s="323"/>
      <c r="N123" s="323"/>
    </row>
    <row r="124" spans="1:14" s="749" customFormat="1" ht="12" customHeight="1">
      <c r="A124" s="318"/>
      <c r="B124" s="324"/>
      <c r="C124" s="320"/>
      <c r="D124" s="320"/>
      <c r="E124" s="320"/>
      <c r="F124" s="320"/>
      <c r="G124" s="739"/>
      <c r="H124" s="335"/>
      <c r="I124" s="335"/>
      <c r="K124" s="500"/>
      <c r="L124" s="321"/>
      <c r="M124" s="323"/>
      <c r="N124" s="323"/>
    </row>
    <row r="125" spans="1:14" s="749" customFormat="1" ht="12" customHeight="1">
      <c r="A125" s="318"/>
      <c r="B125" s="324"/>
      <c r="C125" s="320"/>
      <c r="D125" s="320"/>
      <c r="E125" s="320"/>
      <c r="F125" s="320"/>
      <c r="G125" s="739"/>
      <c r="H125" s="335"/>
      <c r="I125" s="335"/>
      <c r="K125" s="500"/>
      <c r="L125" s="321"/>
      <c r="M125" s="323"/>
      <c r="N125" s="323"/>
    </row>
    <row r="126" spans="1:14" s="749" customFormat="1" ht="12" customHeight="1">
      <c r="A126" s="318"/>
      <c r="B126" s="324"/>
      <c r="C126" s="320"/>
      <c r="D126" s="320"/>
      <c r="E126" s="320"/>
      <c r="F126" s="320"/>
      <c r="G126" s="739"/>
      <c r="H126" s="335"/>
      <c r="I126" s="335"/>
      <c r="K126" s="500"/>
      <c r="L126" s="321"/>
      <c r="M126" s="323"/>
      <c r="N126" s="323"/>
    </row>
    <row r="127" spans="1:14" s="749" customFormat="1" ht="12" customHeight="1">
      <c r="A127" s="318"/>
      <c r="B127" s="324"/>
      <c r="C127" s="320"/>
      <c r="D127" s="320"/>
      <c r="E127" s="320"/>
      <c r="F127" s="320"/>
      <c r="G127" s="739"/>
      <c r="H127" s="335"/>
      <c r="I127" s="335"/>
      <c r="K127" s="500"/>
      <c r="L127" s="321"/>
      <c r="M127" s="323"/>
      <c r="N127" s="323"/>
    </row>
    <row r="128" spans="1:14" s="749" customFormat="1" ht="12" customHeight="1">
      <c r="A128" s="318"/>
      <c r="B128" s="324"/>
      <c r="C128" s="320"/>
      <c r="D128" s="320"/>
      <c r="E128" s="320"/>
      <c r="F128" s="320"/>
      <c r="G128" s="739"/>
      <c r="H128" s="335"/>
      <c r="I128" s="335"/>
      <c r="K128" s="500"/>
      <c r="L128" s="321"/>
      <c r="M128" s="323"/>
      <c r="N128" s="323"/>
    </row>
    <row r="129" spans="1:14" s="749" customFormat="1" ht="12" customHeight="1">
      <c r="A129" s="318"/>
      <c r="B129" s="324"/>
      <c r="C129" s="320"/>
      <c r="D129" s="320"/>
      <c r="E129" s="320"/>
      <c r="F129" s="320"/>
      <c r="G129" s="739"/>
      <c r="H129" s="335"/>
      <c r="I129" s="335"/>
      <c r="K129" s="500"/>
      <c r="L129" s="321"/>
      <c r="M129" s="323"/>
      <c r="N129" s="323"/>
    </row>
    <row r="130" spans="1:14" s="749" customFormat="1" ht="12" customHeight="1">
      <c r="A130" s="318"/>
      <c r="B130" s="324"/>
      <c r="C130" s="320"/>
      <c r="D130" s="320"/>
      <c r="E130" s="320"/>
      <c r="F130" s="320"/>
      <c r="G130" s="739"/>
      <c r="H130" s="335"/>
      <c r="I130" s="335"/>
      <c r="K130" s="500"/>
      <c r="L130" s="321"/>
      <c r="M130" s="323"/>
      <c r="N130" s="323"/>
    </row>
    <row r="131" spans="1:14" s="749" customFormat="1" ht="12" customHeight="1">
      <c r="A131" s="318"/>
      <c r="B131" s="324"/>
      <c r="C131" s="320"/>
      <c r="D131" s="320"/>
      <c r="E131" s="320"/>
      <c r="F131" s="320"/>
      <c r="G131" s="739"/>
      <c r="H131" s="335"/>
      <c r="I131" s="335"/>
      <c r="K131" s="500"/>
      <c r="L131" s="321"/>
      <c r="M131" s="323"/>
      <c r="N131" s="323"/>
    </row>
    <row r="132" spans="1:14" s="749" customFormat="1" ht="12" customHeight="1">
      <c r="A132" s="318"/>
      <c r="B132" s="324"/>
      <c r="C132" s="320"/>
      <c r="D132" s="320"/>
      <c r="E132" s="320"/>
      <c r="F132" s="320"/>
      <c r="G132" s="739"/>
      <c r="H132" s="335"/>
      <c r="I132" s="335"/>
      <c r="K132" s="500"/>
      <c r="L132" s="321"/>
      <c r="M132" s="323"/>
      <c r="N132" s="323"/>
    </row>
    <row r="133" spans="1:14" s="749" customFormat="1" ht="12" customHeight="1">
      <c r="A133" s="318"/>
      <c r="B133" s="324"/>
      <c r="C133" s="320"/>
      <c r="D133" s="320"/>
      <c r="E133" s="320"/>
      <c r="F133" s="320"/>
      <c r="G133" s="739"/>
      <c r="H133" s="335"/>
      <c r="I133" s="335"/>
      <c r="K133" s="500"/>
      <c r="L133" s="321"/>
      <c r="M133" s="323"/>
      <c r="N133" s="323"/>
    </row>
    <row r="134" spans="1:14" s="749" customFormat="1" ht="12" customHeight="1">
      <c r="A134" s="318"/>
      <c r="B134" s="324"/>
      <c r="C134" s="320"/>
      <c r="D134" s="320"/>
      <c r="E134" s="320"/>
      <c r="F134" s="320"/>
      <c r="G134" s="739"/>
      <c r="H134" s="335"/>
      <c r="I134" s="335"/>
      <c r="K134" s="500"/>
      <c r="L134" s="321"/>
      <c r="M134" s="323"/>
      <c r="N134" s="323"/>
    </row>
    <row r="135" spans="1:14" s="749" customFormat="1" ht="12" customHeight="1">
      <c r="A135" s="318"/>
      <c r="B135" s="324"/>
      <c r="C135" s="324"/>
      <c r="D135" s="324"/>
      <c r="E135" s="320"/>
      <c r="F135" s="324"/>
      <c r="G135" s="737"/>
      <c r="H135" s="336"/>
      <c r="I135" s="336"/>
      <c r="K135" s="500"/>
      <c r="L135" s="321"/>
      <c r="M135" s="323"/>
      <c r="N135" s="323"/>
    </row>
  </sheetData>
  <mergeCells count="7">
    <mergeCell ref="A23:J23"/>
    <mergeCell ref="A5:J5"/>
    <mergeCell ref="A8:J8"/>
    <mergeCell ref="A11:J11"/>
    <mergeCell ref="A14:J14"/>
    <mergeCell ref="A17:J17"/>
    <mergeCell ref="A20:J20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80" fitToHeight="3" orientation="landscape" r:id="rId1"/>
  <headerFooter alignWithMargins="0"/>
  <legacy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27"/>
  <sheetViews>
    <sheetView view="pageBreakPreview" topLeftCell="A4" zoomScaleNormal="115" workbookViewId="0">
      <selection activeCell="A4" sqref="A1:XFD1048576"/>
    </sheetView>
  </sheetViews>
  <sheetFormatPr defaultRowHeight="12" customHeight="1"/>
  <cols>
    <col min="1" max="1" width="10.109375" style="318" customWidth="1"/>
    <col min="2" max="2" width="3.88671875" style="318" customWidth="1"/>
    <col min="3" max="3" width="5.5546875" style="318" customWidth="1"/>
    <col min="4" max="4" width="44.44140625" style="324" customWidth="1"/>
    <col min="5" max="6" width="8.88671875" style="324" customWidth="1"/>
    <col min="7" max="8" width="7.77734375" style="324" customWidth="1"/>
    <col min="9" max="10" width="7.77734375" style="737" customWidth="1"/>
    <col min="11" max="11" width="7.77734375" style="336" customWidth="1"/>
    <col min="12" max="12" width="5" style="323" customWidth="1"/>
    <col min="13" max="257" width="8.88671875" style="323"/>
    <col min="258" max="258" width="6.109375" style="323" customWidth="1"/>
    <col min="259" max="259" width="3.88671875" style="323" customWidth="1"/>
    <col min="260" max="260" width="5.5546875" style="323" customWidth="1"/>
    <col min="261" max="261" width="44.44140625" style="323" customWidth="1"/>
    <col min="262" max="267" width="7.77734375" style="323" customWidth="1"/>
    <col min="268" max="268" width="5" style="323" customWidth="1"/>
    <col min="269" max="513" width="8.88671875" style="323"/>
    <col min="514" max="514" width="6.109375" style="323" customWidth="1"/>
    <col min="515" max="515" width="3.88671875" style="323" customWidth="1"/>
    <col min="516" max="516" width="5.5546875" style="323" customWidth="1"/>
    <col min="517" max="517" width="44.44140625" style="323" customWidth="1"/>
    <col min="518" max="523" width="7.77734375" style="323" customWidth="1"/>
    <col min="524" max="524" width="5" style="323" customWidth="1"/>
    <col min="525" max="769" width="8.88671875" style="323"/>
    <col min="770" max="770" width="6.109375" style="323" customWidth="1"/>
    <col min="771" max="771" width="3.88671875" style="323" customWidth="1"/>
    <col min="772" max="772" width="5.5546875" style="323" customWidth="1"/>
    <col min="773" max="773" width="44.44140625" style="323" customWidth="1"/>
    <col min="774" max="779" width="7.77734375" style="323" customWidth="1"/>
    <col min="780" max="780" width="5" style="323" customWidth="1"/>
    <col min="781" max="1025" width="8.88671875" style="323"/>
    <col min="1026" max="1026" width="6.109375" style="323" customWidth="1"/>
    <col min="1027" max="1027" width="3.88671875" style="323" customWidth="1"/>
    <col min="1028" max="1028" width="5.5546875" style="323" customWidth="1"/>
    <col min="1029" max="1029" width="44.44140625" style="323" customWidth="1"/>
    <col min="1030" max="1035" width="7.77734375" style="323" customWidth="1"/>
    <col min="1036" max="1036" width="5" style="323" customWidth="1"/>
    <col min="1037" max="1281" width="8.88671875" style="323"/>
    <col min="1282" max="1282" width="6.109375" style="323" customWidth="1"/>
    <col min="1283" max="1283" width="3.88671875" style="323" customWidth="1"/>
    <col min="1284" max="1284" width="5.5546875" style="323" customWidth="1"/>
    <col min="1285" max="1285" width="44.44140625" style="323" customWidth="1"/>
    <col min="1286" max="1291" width="7.77734375" style="323" customWidth="1"/>
    <col min="1292" max="1292" width="5" style="323" customWidth="1"/>
    <col min="1293" max="1537" width="8.88671875" style="323"/>
    <col min="1538" max="1538" width="6.109375" style="323" customWidth="1"/>
    <col min="1539" max="1539" width="3.88671875" style="323" customWidth="1"/>
    <col min="1540" max="1540" width="5.5546875" style="323" customWidth="1"/>
    <col min="1541" max="1541" width="44.44140625" style="323" customWidth="1"/>
    <col min="1542" max="1547" width="7.77734375" style="323" customWidth="1"/>
    <col min="1548" max="1548" width="5" style="323" customWidth="1"/>
    <col min="1549" max="1793" width="8.88671875" style="323"/>
    <col min="1794" max="1794" width="6.109375" style="323" customWidth="1"/>
    <col min="1795" max="1795" width="3.88671875" style="323" customWidth="1"/>
    <col min="1796" max="1796" width="5.5546875" style="323" customWidth="1"/>
    <col min="1797" max="1797" width="44.44140625" style="323" customWidth="1"/>
    <col min="1798" max="1803" width="7.77734375" style="323" customWidth="1"/>
    <col min="1804" max="1804" width="5" style="323" customWidth="1"/>
    <col min="1805" max="2049" width="8.88671875" style="323"/>
    <col min="2050" max="2050" width="6.109375" style="323" customWidth="1"/>
    <col min="2051" max="2051" width="3.88671875" style="323" customWidth="1"/>
    <col min="2052" max="2052" width="5.5546875" style="323" customWidth="1"/>
    <col min="2053" max="2053" width="44.44140625" style="323" customWidth="1"/>
    <col min="2054" max="2059" width="7.77734375" style="323" customWidth="1"/>
    <col min="2060" max="2060" width="5" style="323" customWidth="1"/>
    <col min="2061" max="2305" width="8.88671875" style="323"/>
    <col min="2306" max="2306" width="6.109375" style="323" customWidth="1"/>
    <col min="2307" max="2307" width="3.88671875" style="323" customWidth="1"/>
    <col min="2308" max="2308" width="5.5546875" style="323" customWidth="1"/>
    <col min="2309" max="2309" width="44.44140625" style="323" customWidth="1"/>
    <col min="2310" max="2315" width="7.77734375" style="323" customWidth="1"/>
    <col min="2316" max="2316" width="5" style="323" customWidth="1"/>
    <col min="2317" max="2561" width="8.88671875" style="323"/>
    <col min="2562" max="2562" width="6.109375" style="323" customWidth="1"/>
    <col min="2563" max="2563" width="3.88671875" style="323" customWidth="1"/>
    <col min="2564" max="2564" width="5.5546875" style="323" customWidth="1"/>
    <col min="2565" max="2565" width="44.44140625" style="323" customWidth="1"/>
    <col min="2566" max="2571" width="7.77734375" style="323" customWidth="1"/>
    <col min="2572" max="2572" width="5" style="323" customWidth="1"/>
    <col min="2573" max="2817" width="8.88671875" style="323"/>
    <col min="2818" max="2818" width="6.109375" style="323" customWidth="1"/>
    <col min="2819" max="2819" width="3.88671875" style="323" customWidth="1"/>
    <col min="2820" max="2820" width="5.5546875" style="323" customWidth="1"/>
    <col min="2821" max="2821" width="44.44140625" style="323" customWidth="1"/>
    <col min="2822" max="2827" width="7.77734375" style="323" customWidth="1"/>
    <col min="2828" max="2828" width="5" style="323" customWidth="1"/>
    <col min="2829" max="3073" width="8.88671875" style="323"/>
    <col min="3074" max="3074" width="6.109375" style="323" customWidth="1"/>
    <col min="3075" max="3075" width="3.88671875" style="323" customWidth="1"/>
    <col min="3076" max="3076" width="5.5546875" style="323" customWidth="1"/>
    <col min="3077" max="3077" width="44.44140625" style="323" customWidth="1"/>
    <col min="3078" max="3083" width="7.77734375" style="323" customWidth="1"/>
    <col min="3084" max="3084" width="5" style="323" customWidth="1"/>
    <col min="3085" max="3329" width="8.88671875" style="323"/>
    <col min="3330" max="3330" width="6.109375" style="323" customWidth="1"/>
    <col min="3331" max="3331" width="3.88671875" style="323" customWidth="1"/>
    <col min="3332" max="3332" width="5.5546875" style="323" customWidth="1"/>
    <col min="3333" max="3333" width="44.44140625" style="323" customWidth="1"/>
    <col min="3334" max="3339" width="7.77734375" style="323" customWidth="1"/>
    <col min="3340" max="3340" width="5" style="323" customWidth="1"/>
    <col min="3341" max="3585" width="8.88671875" style="323"/>
    <col min="3586" max="3586" width="6.109375" style="323" customWidth="1"/>
    <col min="3587" max="3587" width="3.88671875" style="323" customWidth="1"/>
    <col min="3588" max="3588" width="5.5546875" style="323" customWidth="1"/>
    <col min="3589" max="3589" width="44.44140625" style="323" customWidth="1"/>
    <col min="3590" max="3595" width="7.77734375" style="323" customWidth="1"/>
    <col min="3596" max="3596" width="5" style="323" customWidth="1"/>
    <col min="3597" max="3841" width="8.88671875" style="323"/>
    <col min="3842" max="3842" width="6.109375" style="323" customWidth="1"/>
    <col min="3843" max="3843" width="3.88671875" style="323" customWidth="1"/>
    <col min="3844" max="3844" width="5.5546875" style="323" customWidth="1"/>
    <col min="3845" max="3845" width="44.44140625" style="323" customWidth="1"/>
    <col min="3846" max="3851" width="7.77734375" style="323" customWidth="1"/>
    <col min="3852" max="3852" width="5" style="323" customWidth="1"/>
    <col min="3853" max="4097" width="8.88671875" style="323"/>
    <col min="4098" max="4098" width="6.109375" style="323" customWidth="1"/>
    <col min="4099" max="4099" width="3.88671875" style="323" customWidth="1"/>
    <col min="4100" max="4100" width="5.5546875" style="323" customWidth="1"/>
    <col min="4101" max="4101" width="44.44140625" style="323" customWidth="1"/>
    <col min="4102" max="4107" width="7.77734375" style="323" customWidth="1"/>
    <col min="4108" max="4108" width="5" style="323" customWidth="1"/>
    <col min="4109" max="4353" width="8.88671875" style="323"/>
    <col min="4354" max="4354" width="6.109375" style="323" customWidth="1"/>
    <col min="4355" max="4355" width="3.88671875" style="323" customWidth="1"/>
    <col min="4356" max="4356" width="5.5546875" style="323" customWidth="1"/>
    <col min="4357" max="4357" width="44.44140625" style="323" customWidth="1"/>
    <col min="4358" max="4363" width="7.77734375" style="323" customWidth="1"/>
    <col min="4364" max="4364" width="5" style="323" customWidth="1"/>
    <col min="4365" max="4609" width="8.88671875" style="323"/>
    <col min="4610" max="4610" width="6.109375" style="323" customWidth="1"/>
    <col min="4611" max="4611" width="3.88671875" style="323" customWidth="1"/>
    <col min="4612" max="4612" width="5.5546875" style="323" customWidth="1"/>
    <col min="4613" max="4613" width="44.44140625" style="323" customWidth="1"/>
    <col min="4614" max="4619" width="7.77734375" style="323" customWidth="1"/>
    <col min="4620" max="4620" width="5" style="323" customWidth="1"/>
    <col min="4621" max="4865" width="8.88671875" style="323"/>
    <col min="4866" max="4866" width="6.109375" style="323" customWidth="1"/>
    <col min="4867" max="4867" width="3.88671875" style="323" customWidth="1"/>
    <col min="4868" max="4868" width="5.5546875" style="323" customWidth="1"/>
    <col min="4869" max="4869" width="44.44140625" style="323" customWidth="1"/>
    <col min="4870" max="4875" width="7.77734375" style="323" customWidth="1"/>
    <col min="4876" max="4876" width="5" style="323" customWidth="1"/>
    <col min="4877" max="5121" width="8.88671875" style="323"/>
    <col min="5122" max="5122" width="6.109375" style="323" customWidth="1"/>
    <col min="5123" max="5123" width="3.88671875" style="323" customWidth="1"/>
    <col min="5124" max="5124" width="5.5546875" style="323" customWidth="1"/>
    <col min="5125" max="5125" width="44.44140625" style="323" customWidth="1"/>
    <col min="5126" max="5131" width="7.77734375" style="323" customWidth="1"/>
    <col min="5132" max="5132" width="5" style="323" customWidth="1"/>
    <col min="5133" max="5377" width="8.88671875" style="323"/>
    <col min="5378" max="5378" width="6.109375" style="323" customWidth="1"/>
    <col min="5379" max="5379" width="3.88671875" style="323" customWidth="1"/>
    <col min="5380" max="5380" width="5.5546875" style="323" customWidth="1"/>
    <col min="5381" max="5381" width="44.44140625" style="323" customWidth="1"/>
    <col min="5382" max="5387" width="7.77734375" style="323" customWidth="1"/>
    <col min="5388" max="5388" width="5" style="323" customWidth="1"/>
    <col min="5389" max="5633" width="8.88671875" style="323"/>
    <col min="5634" max="5634" width="6.109375" style="323" customWidth="1"/>
    <col min="5635" max="5635" width="3.88671875" style="323" customWidth="1"/>
    <col min="5636" max="5636" width="5.5546875" style="323" customWidth="1"/>
    <col min="5637" max="5637" width="44.44140625" style="323" customWidth="1"/>
    <col min="5638" max="5643" width="7.77734375" style="323" customWidth="1"/>
    <col min="5644" max="5644" width="5" style="323" customWidth="1"/>
    <col min="5645" max="5889" width="8.88671875" style="323"/>
    <col min="5890" max="5890" width="6.109375" style="323" customWidth="1"/>
    <col min="5891" max="5891" width="3.88671875" style="323" customWidth="1"/>
    <col min="5892" max="5892" width="5.5546875" style="323" customWidth="1"/>
    <col min="5893" max="5893" width="44.44140625" style="323" customWidth="1"/>
    <col min="5894" max="5899" width="7.77734375" style="323" customWidth="1"/>
    <col min="5900" max="5900" width="5" style="323" customWidth="1"/>
    <col min="5901" max="6145" width="8.88671875" style="323"/>
    <col min="6146" max="6146" width="6.109375" style="323" customWidth="1"/>
    <col min="6147" max="6147" width="3.88671875" style="323" customWidth="1"/>
    <col min="6148" max="6148" width="5.5546875" style="323" customWidth="1"/>
    <col min="6149" max="6149" width="44.44140625" style="323" customWidth="1"/>
    <col min="6150" max="6155" width="7.77734375" style="323" customWidth="1"/>
    <col min="6156" max="6156" width="5" style="323" customWidth="1"/>
    <col min="6157" max="6401" width="8.88671875" style="323"/>
    <col min="6402" max="6402" width="6.109375" style="323" customWidth="1"/>
    <col min="6403" max="6403" width="3.88671875" style="323" customWidth="1"/>
    <col min="6404" max="6404" width="5.5546875" style="323" customWidth="1"/>
    <col min="6405" max="6405" width="44.44140625" style="323" customWidth="1"/>
    <col min="6406" max="6411" width="7.77734375" style="323" customWidth="1"/>
    <col min="6412" max="6412" width="5" style="323" customWidth="1"/>
    <col min="6413" max="6657" width="8.88671875" style="323"/>
    <col min="6658" max="6658" width="6.109375" style="323" customWidth="1"/>
    <col min="6659" max="6659" width="3.88671875" style="323" customWidth="1"/>
    <col min="6660" max="6660" width="5.5546875" style="323" customWidth="1"/>
    <col min="6661" max="6661" width="44.44140625" style="323" customWidth="1"/>
    <col min="6662" max="6667" width="7.77734375" style="323" customWidth="1"/>
    <col min="6668" max="6668" width="5" style="323" customWidth="1"/>
    <col min="6669" max="6913" width="8.88671875" style="323"/>
    <col min="6914" max="6914" width="6.109375" style="323" customWidth="1"/>
    <col min="6915" max="6915" width="3.88671875" style="323" customWidth="1"/>
    <col min="6916" max="6916" width="5.5546875" style="323" customWidth="1"/>
    <col min="6917" max="6917" width="44.44140625" style="323" customWidth="1"/>
    <col min="6918" max="6923" width="7.77734375" style="323" customWidth="1"/>
    <col min="6924" max="6924" width="5" style="323" customWidth="1"/>
    <col min="6925" max="7169" width="8.88671875" style="323"/>
    <col min="7170" max="7170" width="6.109375" style="323" customWidth="1"/>
    <col min="7171" max="7171" width="3.88671875" style="323" customWidth="1"/>
    <col min="7172" max="7172" width="5.5546875" style="323" customWidth="1"/>
    <col min="7173" max="7173" width="44.44140625" style="323" customWidth="1"/>
    <col min="7174" max="7179" width="7.77734375" style="323" customWidth="1"/>
    <col min="7180" max="7180" width="5" style="323" customWidth="1"/>
    <col min="7181" max="7425" width="8.88671875" style="323"/>
    <col min="7426" max="7426" width="6.109375" style="323" customWidth="1"/>
    <col min="7427" max="7427" width="3.88671875" style="323" customWidth="1"/>
    <col min="7428" max="7428" width="5.5546875" style="323" customWidth="1"/>
    <col min="7429" max="7429" width="44.44140625" style="323" customWidth="1"/>
    <col min="7430" max="7435" width="7.77734375" style="323" customWidth="1"/>
    <col min="7436" max="7436" width="5" style="323" customWidth="1"/>
    <col min="7437" max="7681" width="8.88671875" style="323"/>
    <col min="7682" max="7682" width="6.109375" style="323" customWidth="1"/>
    <col min="7683" max="7683" width="3.88671875" style="323" customWidth="1"/>
    <col min="7684" max="7684" width="5.5546875" style="323" customWidth="1"/>
    <col min="7685" max="7685" width="44.44140625" style="323" customWidth="1"/>
    <col min="7686" max="7691" width="7.77734375" style="323" customWidth="1"/>
    <col min="7692" max="7692" width="5" style="323" customWidth="1"/>
    <col min="7693" max="7937" width="8.88671875" style="323"/>
    <col min="7938" max="7938" width="6.109375" style="323" customWidth="1"/>
    <col min="7939" max="7939" width="3.88671875" style="323" customWidth="1"/>
    <col min="7940" max="7940" width="5.5546875" style="323" customWidth="1"/>
    <col min="7941" max="7941" width="44.44140625" style="323" customWidth="1"/>
    <col min="7942" max="7947" width="7.77734375" style="323" customWidth="1"/>
    <col min="7948" max="7948" width="5" style="323" customWidth="1"/>
    <col min="7949" max="8193" width="8.88671875" style="323"/>
    <col min="8194" max="8194" width="6.109375" style="323" customWidth="1"/>
    <col min="8195" max="8195" width="3.88671875" style="323" customWidth="1"/>
    <col min="8196" max="8196" width="5.5546875" style="323" customWidth="1"/>
    <col min="8197" max="8197" width="44.44140625" style="323" customWidth="1"/>
    <col min="8198" max="8203" width="7.77734375" style="323" customWidth="1"/>
    <col min="8204" max="8204" width="5" style="323" customWidth="1"/>
    <col min="8205" max="8449" width="8.88671875" style="323"/>
    <col min="8450" max="8450" width="6.109375" style="323" customWidth="1"/>
    <col min="8451" max="8451" width="3.88671875" style="323" customWidth="1"/>
    <col min="8452" max="8452" width="5.5546875" style="323" customWidth="1"/>
    <col min="8453" max="8453" width="44.44140625" style="323" customWidth="1"/>
    <col min="8454" max="8459" width="7.77734375" style="323" customWidth="1"/>
    <col min="8460" max="8460" width="5" style="323" customWidth="1"/>
    <col min="8461" max="8705" width="8.88671875" style="323"/>
    <col min="8706" max="8706" width="6.109375" style="323" customWidth="1"/>
    <col min="8707" max="8707" width="3.88671875" style="323" customWidth="1"/>
    <col min="8708" max="8708" width="5.5546875" style="323" customWidth="1"/>
    <col min="8709" max="8709" width="44.44140625" style="323" customWidth="1"/>
    <col min="8710" max="8715" width="7.77734375" style="323" customWidth="1"/>
    <col min="8716" max="8716" width="5" style="323" customWidth="1"/>
    <col min="8717" max="8961" width="8.88671875" style="323"/>
    <col min="8962" max="8962" width="6.109375" style="323" customWidth="1"/>
    <col min="8963" max="8963" width="3.88671875" style="323" customWidth="1"/>
    <col min="8964" max="8964" width="5.5546875" style="323" customWidth="1"/>
    <col min="8965" max="8965" width="44.44140625" style="323" customWidth="1"/>
    <col min="8966" max="8971" width="7.77734375" style="323" customWidth="1"/>
    <col min="8972" max="8972" width="5" style="323" customWidth="1"/>
    <col min="8973" max="9217" width="8.88671875" style="323"/>
    <col min="9218" max="9218" width="6.109375" style="323" customWidth="1"/>
    <col min="9219" max="9219" width="3.88671875" style="323" customWidth="1"/>
    <col min="9220" max="9220" width="5.5546875" style="323" customWidth="1"/>
    <col min="9221" max="9221" width="44.44140625" style="323" customWidth="1"/>
    <col min="9222" max="9227" width="7.77734375" style="323" customWidth="1"/>
    <col min="9228" max="9228" width="5" style="323" customWidth="1"/>
    <col min="9229" max="9473" width="8.88671875" style="323"/>
    <col min="9474" max="9474" width="6.109375" style="323" customWidth="1"/>
    <col min="9475" max="9475" width="3.88671875" style="323" customWidth="1"/>
    <col min="9476" max="9476" width="5.5546875" style="323" customWidth="1"/>
    <col min="9477" max="9477" width="44.44140625" style="323" customWidth="1"/>
    <col min="9478" max="9483" width="7.77734375" style="323" customWidth="1"/>
    <col min="9484" max="9484" width="5" style="323" customWidth="1"/>
    <col min="9485" max="9729" width="8.88671875" style="323"/>
    <col min="9730" max="9730" width="6.109375" style="323" customWidth="1"/>
    <col min="9731" max="9731" width="3.88671875" style="323" customWidth="1"/>
    <col min="9732" max="9732" width="5.5546875" style="323" customWidth="1"/>
    <col min="9733" max="9733" width="44.44140625" style="323" customWidth="1"/>
    <col min="9734" max="9739" width="7.77734375" style="323" customWidth="1"/>
    <col min="9740" max="9740" width="5" style="323" customWidth="1"/>
    <col min="9741" max="9985" width="8.88671875" style="323"/>
    <col min="9986" max="9986" width="6.109375" style="323" customWidth="1"/>
    <col min="9987" max="9987" width="3.88671875" style="323" customWidth="1"/>
    <col min="9988" max="9988" width="5.5546875" style="323" customWidth="1"/>
    <col min="9989" max="9989" width="44.44140625" style="323" customWidth="1"/>
    <col min="9990" max="9995" width="7.77734375" style="323" customWidth="1"/>
    <col min="9996" max="9996" width="5" style="323" customWidth="1"/>
    <col min="9997" max="10241" width="8.88671875" style="323"/>
    <col min="10242" max="10242" width="6.109375" style="323" customWidth="1"/>
    <col min="10243" max="10243" width="3.88671875" style="323" customWidth="1"/>
    <col min="10244" max="10244" width="5.5546875" style="323" customWidth="1"/>
    <col min="10245" max="10245" width="44.44140625" style="323" customWidth="1"/>
    <col min="10246" max="10251" width="7.77734375" style="323" customWidth="1"/>
    <col min="10252" max="10252" width="5" style="323" customWidth="1"/>
    <col min="10253" max="10497" width="8.88671875" style="323"/>
    <col min="10498" max="10498" width="6.109375" style="323" customWidth="1"/>
    <col min="10499" max="10499" width="3.88671875" style="323" customWidth="1"/>
    <col min="10500" max="10500" width="5.5546875" style="323" customWidth="1"/>
    <col min="10501" max="10501" width="44.44140625" style="323" customWidth="1"/>
    <col min="10502" max="10507" width="7.77734375" style="323" customWidth="1"/>
    <col min="10508" max="10508" width="5" style="323" customWidth="1"/>
    <col min="10509" max="10753" width="8.88671875" style="323"/>
    <col min="10754" max="10754" width="6.109375" style="323" customWidth="1"/>
    <col min="10755" max="10755" width="3.88671875" style="323" customWidth="1"/>
    <col min="10756" max="10756" width="5.5546875" style="323" customWidth="1"/>
    <col min="10757" max="10757" width="44.44140625" style="323" customWidth="1"/>
    <col min="10758" max="10763" width="7.77734375" style="323" customWidth="1"/>
    <col min="10764" max="10764" width="5" style="323" customWidth="1"/>
    <col min="10765" max="11009" width="8.88671875" style="323"/>
    <col min="11010" max="11010" width="6.109375" style="323" customWidth="1"/>
    <col min="11011" max="11011" width="3.88671875" style="323" customWidth="1"/>
    <col min="11012" max="11012" width="5.5546875" style="323" customWidth="1"/>
    <col min="11013" max="11013" width="44.44140625" style="323" customWidth="1"/>
    <col min="11014" max="11019" width="7.77734375" style="323" customWidth="1"/>
    <col min="11020" max="11020" width="5" style="323" customWidth="1"/>
    <col min="11021" max="11265" width="8.88671875" style="323"/>
    <col min="11266" max="11266" width="6.109375" style="323" customWidth="1"/>
    <col min="11267" max="11267" width="3.88671875" style="323" customWidth="1"/>
    <col min="11268" max="11268" width="5.5546875" style="323" customWidth="1"/>
    <col min="11269" max="11269" width="44.44140625" style="323" customWidth="1"/>
    <col min="11270" max="11275" width="7.77734375" style="323" customWidth="1"/>
    <col min="11276" max="11276" width="5" style="323" customWidth="1"/>
    <col min="11277" max="11521" width="8.88671875" style="323"/>
    <col min="11522" max="11522" width="6.109375" style="323" customWidth="1"/>
    <col min="11523" max="11523" width="3.88671875" style="323" customWidth="1"/>
    <col min="11524" max="11524" width="5.5546875" style="323" customWidth="1"/>
    <col min="11525" max="11525" width="44.44140625" style="323" customWidth="1"/>
    <col min="11526" max="11531" width="7.77734375" style="323" customWidth="1"/>
    <col min="11532" max="11532" width="5" style="323" customWidth="1"/>
    <col min="11533" max="11777" width="8.88671875" style="323"/>
    <col min="11778" max="11778" width="6.109375" style="323" customWidth="1"/>
    <col min="11779" max="11779" width="3.88671875" style="323" customWidth="1"/>
    <col min="11780" max="11780" width="5.5546875" style="323" customWidth="1"/>
    <col min="11781" max="11781" width="44.44140625" style="323" customWidth="1"/>
    <col min="11782" max="11787" width="7.77734375" style="323" customWidth="1"/>
    <col min="11788" max="11788" width="5" style="323" customWidth="1"/>
    <col min="11789" max="12033" width="8.88671875" style="323"/>
    <col min="12034" max="12034" width="6.109375" style="323" customWidth="1"/>
    <col min="12035" max="12035" width="3.88671875" style="323" customWidth="1"/>
    <col min="12036" max="12036" width="5.5546875" style="323" customWidth="1"/>
    <col min="12037" max="12037" width="44.44140625" style="323" customWidth="1"/>
    <col min="12038" max="12043" width="7.77734375" style="323" customWidth="1"/>
    <col min="12044" max="12044" width="5" style="323" customWidth="1"/>
    <col min="12045" max="12289" width="8.88671875" style="323"/>
    <col min="12290" max="12290" width="6.109375" style="323" customWidth="1"/>
    <col min="12291" max="12291" width="3.88671875" style="323" customWidth="1"/>
    <col min="12292" max="12292" width="5.5546875" style="323" customWidth="1"/>
    <col min="12293" max="12293" width="44.44140625" style="323" customWidth="1"/>
    <col min="12294" max="12299" width="7.77734375" style="323" customWidth="1"/>
    <col min="12300" max="12300" width="5" style="323" customWidth="1"/>
    <col min="12301" max="12545" width="8.88671875" style="323"/>
    <col min="12546" max="12546" width="6.109375" style="323" customWidth="1"/>
    <col min="12547" max="12547" width="3.88671875" style="323" customWidth="1"/>
    <col min="12548" max="12548" width="5.5546875" style="323" customWidth="1"/>
    <col min="12549" max="12549" width="44.44140625" style="323" customWidth="1"/>
    <col min="12550" max="12555" width="7.77734375" style="323" customWidth="1"/>
    <col min="12556" max="12556" width="5" style="323" customWidth="1"/>
    <col min="12557" max="12801" width="8.88671875" style="323"/>
    <col min="12802" max="12802" width="6.109375" style="323" customWidth="1"/>
    <col min="12803" max="12803" width="3.88671875" style="323" customWidth="1"/>
    <col min="12804" max="12804" width="5.5546875" style="323" customWidth="1"/>
    <col min="12805" max="12805" width="44.44140625" style="323" customWidth="1"/>
    <col min="12806" max="12811" width="7.77734375" style="323" customWidth="1"/>
    <col min="12812" max="12812" width="5" style="323" customWidth="1"/>
    <col min="12813" max="13057" width="8.88671875" style="323"/>
    <col min="13058" max="13058" width="6.109375" style="323" customWidth="1"/>
    <col min="13059" max="13059" width="3.88671875" style="323" customWidth="1"/>
    <col min="13060" max="13060" width="5.5546875" style="323" customWidth="1"/>
    <col min="13061" max="13061" width="44.44140625" style="323" customWidth="1"/>
    <col min="13062" max="13067" width="7.77734375" style="323" customWidth="1"/>
    <col min="13068" max="13068" width="5" style="323" customWidth="1"/>
    <col min="13069" max="13313" width="8.88671875" style="323"/>
    <col min="13314" max="13314" width="6.109375" style="323" customWidth="1"/>
    <col min="13315" max="13315" width="3.88671875" style="323" customWidth="1"/>
    <col min="13316" max="13316" width="5.5546875" style="323" customWidth="1"/>
    <col min="13317" max="13317" width="44.44140625" style="323" customWidth="1"/>
    <col min="13318" max="13323" width="7.77734375" style="323" customWidth="1"/>
    <col min="13324" max="13324" width="5" style="323" customWidth="1"/>
    <col min="13325" max="13569" width="8.88671875" style="323"/>
    <col min="13570" max="13570" width="6.109375" style="323" customWidth="1"/>
    <col min="13571" max="13571" width="3.88671875" style="323" customWidth="1"/>
    <col min="13572" max="13572" width="5.5546875" style="323" customWidth="1"/>
    <col min="13573" max="13573" width="44.44140625" style="323" customWidth="1"/>
    <col min="13574" max="13579" width="7.77734375" style="323" customWidth="1"/>
    <col min="13580" max="13580" width="5" style="323" customWidth="1"/>
    <col min="13581" max="13825" width="8.88671875" style="323"/>
    <col min="13826" max="13826" width="6.109375" style="323" customWidth="1"/>
    <col min="13827" max="13827" width="3.88671875" style="323" customWidth="1"/>
    <col min="13828" max="13828" width="5.5546875" style="323" customWidth="1"/>
    <col min="13829" max="13829" width="44.44140625" style="323" customWidth="1"/>
    <col min="13830" max="13835" width="7.77734375" style="323" customWidth="1"/>
    <col min="13836" max="13836" width="5" style="323" customWidth="1"/>
    <col min="13837" max="14081" width="8.88671875" style="323"/>
    <col min="14082" max="14082" width="6.109375" style="323" customWidth="1"/>
    <col min="14083" max="14083" width="3.88671875" style="323" customWidth="1"/>
    <col min="14084" max="14084" width="5.5546875" style="323" customWidth="1"/>
    <col min="14085" max="14085" width="44.44140625" style="323" customWidth="1"/>
    <col min="14086" max="14091" width="7.77734375" style="323" customWidth="1"/>
    <col min="14092" max="14092" width="5" style="323" customWidth="1"/>
    <col min="14093" max="14337" width="8.88671875" style="323"/>
    <col min="14338" max="14338" width="6.109375" style="323" customWidth="1"/>
    <col min="14339" max="14339" width="3.88671875" style="323" customWidth="1"/>
    <col min="14340" max="14340" width="5.5546875" style="323" customWidth="1"/>
    <col min="14341" max="14341" width="44.44140625" style="323" customWidth="1"/>
    <col min="14342" max="14347" width="7.77734375" style="323" customWidth="1"/>
    <col min="14348" max="14348" width="5" style="323" customWidth="1"/>
    <col min="14349" max="14593" width="8.88671875" style="323"/>
    <col min="14594" max="14594" width="6.109375" style="323" customWidth="1"/>
    <col min="14595" max="14595" width="3.88671875" style="323" customWidth="1"/>
    <col min="14596" max="14596" width="5.5546875" style="323" customWidth="1"/>
    <col min="14597" max="14597" width="44.44140625" style="323" customWidth="1"/>
    <col min="14598" max="14603" width="7.77734375" style="323" customWidth="1"/>
    <col min="14604" max="14604" width="5" style="323" customWidth="1"/>
    <col min="14605" max="14849" width="8.88671875" style="323"/>
    <col min="14850" max="14850" width="6.109375" style="323" customWidth="1"/>
    <col min="14851" max="14851" width="3.88671875" style="323" customWidth="1"/>
    <col min="14852" max="14852" width="5.5546875" style="323" customWidth="1"/>
    <col min="14853" max="14853" width="44.44140625" style="323" customWidth="1"/>
    <col min="14854" max="14859" width="7.77734375" style="323" customWidth="1"/>
    <col min="14860" max="14860" width="5" style="323" customWidth="1"/>
    <col min="14861" max="15105" width="8.88671875" style="323"/>
    <col min="15106" max="15106" width="6.109375" style="323" customWidth="1"/>
    <col min="15107" max="15107" width="3.88671875" style="323" customWidth="1"/>
    <col min="15108" max="15108" width="5.5546875" style="323" customWidth="1"/>
    <col min="15109" max="15109" width="44.44140625" style="323" customWidth="1"/>
    <col min="15110" max="15115" width="7.77734375" style="323" customWidth="1"/>
    <col min="15116" max="15116" width="5" style="323" customWidth="1"/>
    <col min="15117" max="15361" width="8.88671875" style="323"/>
    <col min="15362" max="15362" width="6.109375" style="323" customWidth="1"/>
    <col min="15363" max="15363" width="3.88671875" style="323" customWidth="1"/>
    <col min="15364" max="15364" width="5.5546875" style="323" customWidth="1"/>
    <col min="15365" max="15365" width="44.44140625" style="323" customWidth="1"/>
    <col min="15366" max="15371" width="7.77734375" style="323" customWidth="1"/>
    <col min="15372" max="15372" width="5" style="323" customWidth="1"/>
    <col min="15373" max="15617" width="8.88671875" style="323"/>
    <col min="15618" max="15618" width="6.109375" style="323" customWidth="1"/>
    <col min="15619" max="15619" width="3.88671875" style="323" customWidth="1"/>
    <col min="15620" max="15620" width="5.5546875" style="323" customWidth="1"/>
    <col min="15621" max="15621" width="44.44140625" style="323" customWidth="1"/>
    <col min="15622" max="15627" width="7.77734375" style="323" customWidth="1"/>
    <col min="15628" max="15628" width="5" style="323" customWidth="1"/>
    <col min="15629" max="15873" width="8.88671875" style="323"/>
    <col min="15874" max="15874" width="6.109375" style="323" customWidth="1"/>
    <col min="15875" max="15875" width="3.88671875" style="323" customWidth="1"/>
    <col min="15876" max="15876" width="5.5546875" style="323" customWidth="1"/>
    <col min="15877" max="15877" width="44.44140625" style="323" customWidth="1"/>
    <col min="15878" max="15883" width="7.77734375" style="323" customWidth="1"/>
    <col min="15884" max="15884" width="5" style="323" customWidth="1"/>
    <col min="15885" max="16129" width="8.88671875" style="323"/>
    <col min="16130" max="16130" width="6.109375" style="323" customWidth="1"/>
    <col min="16131" max="16131" width="3.88671875" style="323" customWidth="1"/>
    <col min="16132" max="16132" width="5.5546875" style="323" customWidth="1"/>
    <col min="16133" max="16133" width="44.44140625" style="323" customWidth="1"/>
    <col min="16134" max="16139" width="7.77734375" style="323" customWidth="1"/>
    <col min="16140" max="16140" width="5" style="323" customWidth="1"/>
    <col min="16141" max="16384" width="8.88671875" style="323"/>
  </cols>
  <sheetData>
    <row r="1" spans="1:14" s="708" customFormat="1" ht="30" customHeight="1" thickBot="1">
      <c r="A1" s="752" t="s">
        <v>463</v>
      </c>
      <c r="B1" s="703"/>
      <c r="C1" s="703"/>
      <c r="D1" s="704"/>
      <c r="E1" s="703"/>
      <c r="F1" s="703"/>
      <c r="G1" s="703"/>
      <c r="H1" s="703"/>
      <c r="I1" s="705"/>
      <c r="J1" s="705"/>
      <c r="K1" s="705"/>
      <c r="L1" s="753"/>
      <c r="M1" s="284"/>
      <c r="N1" s="284"/>
    </row>
    <row r="2" spans="1:14" s="460" customFormat="1" ht="28.5" customHeight="1">
      <c r="A2" s="754" t="s">
        <v>141</v>
      </c>
      <c r="B2" s="755" t="s">
        <v>6</v>
      </c>
      <c r="C2" s="755" t="s">
        <v>149</v>
      </c>
      <c r="D2" s="755" t="s">
        <v>142</v>
      </c>
      <c r="E2" s="756" t="s">
        <v>143</v>
      </c>
      <c r="F2" s="757" t="s">
        <v>401</v>
      </c>
      <c r="G2" s="758" t="s">
        <v>117</v>
      </c>
      <c r="H2" s="710" t="s">
        <v>469</v>
      </c>
      <c r="I2" s="758" t="s">
        <v>115</v>
      </c>
      <c r="J2" s="758" t="s">
        <v>116</v>
      </c>
      <c r="K2" s="759" t="s">
        <v>144</v>
      </c>
      <c r="L2" s="760" t="s">
        <v>9</v>
      </c>
    </row>
    <row r="3" spans="1:14" s="769" customFormat="1" ht="24.95" customHeight="1">
      <c r="A3" s="761" t="s">
        <v>145</v>
      </c>
      <c r="B3" s="715">
        <v>1</v>
      </c>
      <c r="C3" s="715">
        <v>703</v>
      </c>
      <c r="D3" s="715" t="s">
        <v>128</v>
      </c>
      <c r="E3" s="762">
        <v>1</v>
      </c>
      <c r="F3" s="763">
        <v>110</v>
      </c>
      <c r="G3" s="764">
        <v>0.6</v>
      </c>
      <c r="H3" s="764">
        <v>1</v>
      </c>
      <c r="I3" s="765">
        <f t="shared" ref="I3:I8" si="0">IF(F3&gt;=2000,1,IF(F3&gt;=1800,0.9,IF(F3&gt;=1600,0.8,IF(F3&gt;=1400,0.7,IF(F3&gt;=1200,0.6,0)))))</f>
        <v>0</v>
      </c>
      <c r="J3" s="766">
        <f t="shared" ref="J3:J8" si="1">IF(G3&gt;=5,1,IF(G3&gt;=4,0.9,IF(G3&gt;=3,0.8,IF(G3&gt;=2,0.7,IF(G3&gt;=1,0.6,0)))))</f>
        <v>0</v>
      </c>
      <c r="K3" s="767">
        <f>배점기준!$F$109*H3*MAX(I3,J3)*E3</f>
        <v>0</v>
      </c>
      <c r="L3" s="768"/>
    </row>
    <row r="4" spans="1:14" s="769" customFormat="1" ht="24.95" customHeight="1">
      <c r="A4" s="761" t="s">
        <v>145</v>
      </c>
      <c r="B4" s="715">
        <v>2</v>
      </c>
      <c r="C4" s="715">
        <v>701</v>
      </c>
      <c r="D4" s="715" t="s">
        <v>128</v>
      </c>
      <c r="E4" s="762">
        <v>1</v>
      </c>
      <c r="F4" s="763">
        <v>1200</v>
      </c>
      <c r="G4" s="764">
        <v>0.5</v>
      </c>
      <c r="H4" s="764">
        <v>0.6</v>
      </c>
      <c r="I4" s="765">
        <f t="shared" si="0"/>
        <v>0.6</v>
      </c>
      <c r="J4" s="766">
        <f t="shared" si="1"/>
        <v>0</v>
      </c>
      <c r="K4" s="767">
        <f>배점기준!$F$109*H4*MAX(I4,J4)*E4</f>
        <v>0.36</v>
      </c>
      <c r="L4" s="768"/>
    </row>
    <row r="5" spans="1:14" s="769" customFormat="1" ht="24.95" customHeight="1">
      <c r="A5" s="761" t="s">
        <v>145</v>
      </c>
      <c r="B5" s="715">
        <v>3</v>
      </c>
      <c r="C5" s="715">
        <v>800</v>
      </c>
      <c r="D5" s="715" t="s">
        <v>128</v>
      </c>
      <c r="E5" s="762">
        <v>1</v>
      </c>
      <c r="F5" s="763">
        <v>1450</v>
      </c>
      <c r="G5" s="764">
        <v>1</v>
      </c>
      <c r="H5" s="764">
        <v>0.6</v>
      </c>
      <c r="I5" s="765">
        <f t="shared" si="0"/>
        <v>0.7</v>
      </c>
      <c r="J5" s="766">
        <f t="shared" si="1"/>
        <v>0.6</v>
      </c>
      <c r="K5" s="767">
        <f>배점기준!$F$109*H5*MAX(I5,J5)*E5</f>
        <v>0.42</v>
      </c>
      <c r="L5" s="768"/>
    </row>
    <row r="6" spans="1:14" s="306" customFormat="1" ht="24.95" customHeight="1">
      <c r="A6" s="761" t="s">
        <v>145</v>
      </c>
      <c r="B6" s="715">
        <v>4</v>
      </c>
      <c r="C6" s="715">
        <v>258</v>
      </c>
      <c r="D6" s="715" t="s">
        <v>128</v>
      </c>
      <c r="E6" s="762">
        <v>1</v>
      </c>
      <c r="F6" s="763">
        <v>1550</v>
      </c>
      <c r="G6" s="764">
        <v>2</v>
      </c>
      <c r="H6" s="764">
        <v>1</v>
      </c>
      <c r="I6" s="765">
        <f t="shared" si="0"/>
        <v>0.7</v>
      </c>
      <c r="J6" s="766">
        <f t="shared" si="1"/>
        <v>0.7</v>
      </c>
      <c r="K6" s="767">
        <f>배점기준!$F$109*H6*MAX(I6,J6)*E6</f>
        <v>0.7</v>
      </c>
      <c r="L6" s="768"/>
    </row>
    <row r="7" spans="1:14" s="306" customFormat="1" ht="24.95" customHeight="1">
      <c r="A7" s="761" t="s">
        <v>145</v>
      </c>
      <c r="B7" s="715">
        <v>5</v>
      </c>
      <c r="C7" s="715">
        <v>701</v>
      </c>
      <c r="D7" s="715" t="s">
        <v>128</v>
      </c>
      <c r="E7" s="762">
        <v>1</v>
      </c>
      <c r="F7" s="763">
        <v>1660</v>
      </c>
      <c r="G7" s="764">
        <v>3</v>
      </c>
      <c r="H7" s="764">
        <v>1</v>
      </c>
      <c r="I7" s="765">
        <f t="shared" si="0"/>
        <v>0.8</v>
      </c>
      <c r="J7" s="766">
        <f t="shared" si="1"/>
        <v>0.8</v>
      </c>
      <c r="K7" s="767">
        <f>배점기준!$F$109*H7*MAX(I7,J7)*E7</f>
        <v>0.8</v>
      </c>
      <c r="L7" s="768"/>
    </row>
    <row r="8" spans="1:14" s="306" customFormat="1" ht="24.95" customHeight="1">
      <c r="A8" s="761" t="s">
        <v>145</v>
      </c>
      <c r="B8" s="715">
        <v>6</v>
      </c>
      <c r="C8" s="715">
        <v>800</v>
      </c>
      <c r="D8" s="715" t="s">
        <v>128</v>
      </c>
      <c r="E8" s="762">
        <v>1</v>
      </c>
      <c r="F8" s="763">
        <v>2001</v>
      </c>
      <c r="G8" s="764">
        <v>4</v>
      </c>
      <c r="H8" s="764">
        <v>1</v>
      </c>
      <c r="I8" s="765">
        <f t="shared" si="0"/>
        <v>1</v>
      </c>
      <c r="J8" s="766">
        <f t="shared" si="1"/>
        <v>0.9</v>
      </c>
      <c r="K8" s="767">
        <f>배점기준!$F$109*H8*MAX(I8,J8)*E8</f>
        <v>1</v>
      </c>
      <c r="L8" s="768"/>
    </row>
    <row r="9" spans="1:14" s="772" customFormat="1" ht="24.95" customHeight="1">
      <c r="A9" s="1251" t="s">
        <v>112</v>
      </c>
      <c r="B9" s="1252"/>
      <c r="C9" s="1252"/>
      <c r="D9" s="1252"/>
      <c r="E9" s="1252"/>
      <c r="F9" s="1252"/>
      <c r="G9" s="1252"/>
      <c r="H9" s="1252"/>
      <c r="I9" s="1252"/>
      <c r="J9" s="1253"/>
      <c r="K9" s="770">
        <f>SUM(K3:K8)</f>
        <v>3.2800000000000002</v>
      </c>
      <c r="L9" s="771"/>
    </row>
    <row r="10" spans="1:14" s="769" customFormat="1" ht="24.95" customHeight="1">
      <c r="A10" s="761" t="s">
        <v>146</v>
      </c>
      <c r="B10" s="715">
        <v>11</v>
      </c>
      <c r="C10" s="715">
        <v>701</v>
      </c>
      <c r="D10" s="715" t="s">
        <v>129</v>
      </c>
      <c r="E10" s="762">
        <v>1</v>
      </c>
      <c r="F10" s="763">
        <v>110</v>
      </c>
      <c r="G10" s="773">
        <v>1</v>
      </c>
      <c r="H10" s="773">
        <v>1</v>
      </c>
      <c r="I10" s="765">
        <f>IF(F10&gt;=2000,1,IF(F10&gt;=1800,0.9,IF(F10&gt;=1600,0.8,IF(F10&gt;=1400,0.7,IF(F10&gt;=1200,0.6,0)))))</f>
        <v>0</v>
      </c>
      <c r="J10" s="766">
        <f>IF(G10&gt;=5,1,IF(G10&gt;=4,0.9,IF(G10&gt;=3,0.8,IF(G10&gt;=2,0.7,IF(G10&gt;=1,0.6,0)))))</f>
        <v>0.6</v>
      </c>
      <c r="K10" s="767">
        <f>배점기준!$G$109*MAX(I10,J10)*E10*H10</f>
        <v>0.36</v>
      </c>
      <c r="L10" s="768"/>
    </row>
    <row r="11" spans="1:14" s="306" customFormat="1" ht="24.95" customHeight="1">
      <c r="A11" s="761" t="s">
        <v>146</v>
      </c>
      <c r="B11" s="715">
        <v>12</v>
      </c>
      <c r="C11" s="715">
        <v>800</v>
      </c>
      <c r="D11" s="715" t="s">
        <v>129</v>
      </c>
      <c r="E11" s="762">
        <v>0.8</v>
      </c>
      <c r="F11" s="763">
        <v>1200</v>
      </c>
      <c r="G11" s="773">
        <v>1</v>
      </c>
      <c r="H11" s="773">
        <v>0.6</v>
      </c>
      <c r="I11" s="765">
        <f>IF(F11&gt;=2000,1,IF(F11&gt;=1800,0.9,IF(F11&gt;=1600,0.8,IF(F11&gt;=1400,0.7,IF(F11&gt;=1200,0.6,0)))))</f>
        <v>0.6</v>
      </c>
      <c r="J11" s="766">
        <f>IF(G11&gt;=5,1,IF(G11&gt;=4,0.9,IF(G11&gt;=3,0.8,IF(G11&gt;=2,0.7,IF(G11&gt;=1,0.6,0)))))</f>
        <v>0.6</v>
      </c>
      <c r="K11" s="767">
        <f>배점기준!$G$109*MAX(I11,J11)*E11*H11</f>
        <v>0.17279999999999998</v>
      </c>
      <c r="L11" s="768"/>
    </row>
    <row r="12" spans="1:14" s="769" customFormat="1" ht="24.95" customHeight="1">
      <c r="A12" s="761" t="s">
        <v>146</v>
      </c>
      <c r="B12" s="715">
        <v>13</v>
      </c>
      <c r="C12" s="715">
        <v>258</v>
      </c>
      <c r="D12" s="715" t="s">
        <v>129</v>
      </c>
      <c r="E12" s="762">
        <v>0.6</v>
      </c>
      <c r="F12" s="763">
        <v>1450</v>
      </c>
      <c r="G12" s="773">
        <v>1</v>
      </c>
      <c r="H12" s="773">
        <v>1</v>
      </c>
      <c r="I12" s="765">
        <f>IF(F12&gt;=2000,1,IF(F12&gt;=1800,0.9,IF(F12&gt;=1600,0.8,IF(F12&gt;=1400,0.7,IF(F12&gt;=1200,0.6,0)))))</f>
        <v>0.7</v>
      </c>
      <c r="J12" s="766">
        <f>IF(G12&gt;=5,1,IF(G12&gt;=4,0.9,IF(G12&gt;=3,0.8,IF(G12&gt;=2,0.7,IF(G12&gt;=1,0.6,0)))))</f>
        <v>0.6</v>
      </c>
      <c r="K12" s="767">
        <f>배점기준!$G$109*MAX(I12,J12)*E12*H12</f>
        <v>0.252</v>
      </c>
      <c r="L12" s="768"/>
    </row>
    <row r="13" spans="1:14" s="772" customFormat="1" ht="24.95" customHeight="1">
      <c r="A13" s="1254" t="s">
        <v>147</v>
      </c>
      <c r="B13" s="1255"/>
      <c r="C13" s="1255"/>
      <c r="D13" s="1255"/>
      <c r="E13" s="1255"/>
      <c r="F13" s="1255"/>
      <c r="G13" s="1255"/>
      <c r="H13" s="1255"/>
      <c r="I13" s="1255"/>
      <c r="J13" s="1255"/>
      <c r="K13" s="770">
        <f>SUM(K10:K12)</f>
        <v>0.78479999999999994</v>
      </c>
      <c r="L13" s="771"/>
    </row>
    <row r="14" spans="1:14" s="306" customFormat="1" ht="24.95" customHeight="1">
      <c r="A14" s="714" t="s">
        <v>113</v>
      </c>
      <c r="B14" s="715">
        <v>14</v>
      </c>
      <c r="C14" s="715">
        <v>701</v>
      </c>
      <c r="D14" s="715" t="s">
        <v>130</v>
      </c>
      <c r="E14" s="762">
        <v>1</v>
      </c>
      <c r="F14" s="763">
        <v>1200</v>
      </c>
      <c r="G14" s="773">
        <v>2</v>
      </c>
      <c r="H14" s="773">
        <v>1</v>
      </c>
      <c r="I14" s="765">
        <f>IF(F14&gt;=2000,1,IF(F14&gt;=1800,0.9,IF(F14&gt;=1600,0.8,IF(F14&gt;=1400,0.7,IF(F14&gt;=1200,0.6,0)))))</f>
        <v>0.6</v>
      </c>
      <c r="J14" s="766">
        <f>IF(G14&gt;=5,1,IF(G14&gt;=4,0.9,IF(G14&gt;=3,0.8,IF(G14&gt;=2,0.7,IF(G14&gt;=1,0.6,0)))))</f>
        <v>0.7</v>
      </c>
      <c r="K14" s="767">
        <f>배점기준!$H$109*MAX(I14,J14)*E14*H14</f>
        <v>0.21</v>
      </c>
      <c r="L14" s="768"/>
    </row>
    <row r="15" spans="1:14" s="769" customFormat="1" ht="24.95" customHeight="1">
      <c r="A15" s="714" t="s">
        <v>113</v>
      </c>
      <c r="B15" s="715">
        <v>15</v>
      </c>
      <c r="C15" s="715">
        <v>800</v>
      </c>
      <c r="D15" s="715" t="s">
        <v>130</v>
      </c>
      <c r="E15" s="762">
        <v>0.8</v>
      </c>
      <c r="F15" s="763">
        <v>1450</v>
      </c>
      <c r="G15" s="773">
        <v>1</v>
      </c>
      <c r="H15" s="773">
        <v>0.6</v>
      </c>
      <c r="I15" s="765">
        <f>IF(F15&gt;=2000,1,IF(F15&gt;=1800,0.9,IF(F15&gt;=1600,0.8,IF(F15&gt;=1400,0.7,IF(F15&gt;=1200,0.6,0)))))</f>
        <v>0.7</v>
      </c>
      <c r="J15" s="766">
        <f>IF(G15&gt;=5,1,IF(G15&gt;=4,0.9,IF(G15&gt;=3,0.8,IF(G15&gt;=2,0.7,IF(G15&gt;=1,0.6,0)))))</f>
        <v>0.6</v>
      </c>
      <c r="K15" s="767">
        <f>배점기준!$H$109*MAX(I15,J15)*E15*H15</f>
        <v>0.1008</v>
      </c>
      <c r="L15" s="768"/>
    </row>
    <row r="16" spans="1:14" s="772" customFormat="1" ht="24.95" customHeight="1" thickBot="1">
      <c r="A16" s="1256" t="s">
        <v>148</v>
      </c>
      <c r="B16" s="1257"/>
      <c r="C16" s="1257"/>
      <c r="D16" s="1257"/>
      <c r="E16" s="1257"/>
      <c r="F16" s="1257"/>
      <c r="G16" s="1257"/>
      <c r="H16" s="1257"/>
      <c r="I16" s="1257"/>
      <c r="J16" s="1257"/>
      <c r="K16" s="774">
        <f>SUM(K14:K15)</f>
        <v>0.31079999999999997</v>
      </c>
      <c r="L16" s="775"/>
    </row>
    <row r="17" spans="1:12" s="306" customFormat="1" ht="24.95" customHeight="1">
      <c r="A17" s="714" t="s">
        <v>456</v>
      </c>
      <c r="B17" s="715">
        <v>14</v>
      </c>
      <c r="C17" s="715">
        <v>701</v>
      </c>
      <c r="D17" s="715" t="s">
        <v>457</v>
      </c>
      <c r="E17" s="762">
        <v>1</v>
      </c>
      <c r="F17" s="763">
        <v>1200</v>
      </c>
      <c r="G17" s="773">
        <v>2</v>
      </c>
      <c r="H17" s="773">
        <v>0.6</v>
      </c>
      <c r="I17" s="765">
        <f>IF(F17&gt;=2000,1,IF(F17&gt;=1800,0.9,IF(F17&gt;=1600,0.8,IF(F17&gt;=1400,0.7,IF(F17&gt;=1200,0.6,0)))))</f>
        <v>0.6</v>
      </c>
      <c r="J17" s="766">
        <f t="shared" ref="J17:J18" si="2">IF(G17&gt;=5,1,IF(G17&gt;=4,0.9,IF(G17&gt;=3,0.8,IF(G17&gt;=2,0.7,IF(G17&gt;=1,0.6,0)))))</f>
        <v>0.7</v>
      </c>
      <c r="K17" s="767">
        <f>배점기준!$F$109*MAX(I17,J17)*E17*H17</f>
        <v>0.42</v>
      </c>
      <c r="L17" s="768"/>
    </row>
    <row r="18" spans="1:12" s="769" customFormat="1" ht="24.95" customHeight="1">
      <c r="A18" s="714" t="s">
        <v>456</v>
      </c>
      <c r="B18" s="715">
        <v>15</v>
      </c>
      <c r="C18" s="715">
        <v>800</v>
      </c>
      <c r="D18" s="715" t="s">
        <v>457</v>
      </c>
      <c r="E18" s="762">
        <v>0.8</v>
      </c>
      <c r="F18" s="763">
        <v>1450</v>
      </c>
      <c r="G18" s="773">
        <v>1</v>
      </c>
      <c r="H18" s="773">
        <v>0.6</v>
      </c>
      <c r="I18" s="765">
        <f>IF(F18&gt;=2000,1,IF(F18&gt;=1800,0.9,IF(F18&gt;=1600,0.8,IF(F18&gt;=1400,0.7,IF(F18&gt;=1200,0.6,0)))))</f>
        <v>0.7</v>
      </c>
      <c r="J18" s="766">
        <f t="shared" si="2"/>
        <v>0.6</v>
      </c>
      <c r="K18" s="767">
        <f>배점기준!$F$109*MAX(I18,J18)*E18*H18</f>
        <v>0.33599999999999997</v>
      </c>
      <c r="L18" s="768"/>
    </row>
    <row r="19" spans="1:12" s="772" customFormat="1" ht="24.95" customHeight="1" thickBot="1">
      <c r="A19" s="1256" t="s">
        <v>148</v>
      </c>
      <c r="B19" s="1257"/>
      <c r="C19" s="1257"/>
      <c r="D19" s="1257"/>
      <c r="E19" s="1257"/>
      <c r="F19" s="1257"/>
      <c r="G19" s="1257"/>
      <c r="H19" s="1257"/>
      <c r="I19" s="1257"/>
      <c r="J19" s="1257"/>
      <c r="K19" s="774">
        <f>SUM(K17:K18)</f>
        <v>0.75600000000000001</v>
      </c>
      <c r="L19" s="775"/>
    </row>
    <row r="20" spans="1:12" ht="15" customHeight="1">
      <c r="A20" s="736"/>
      <c r="B20" s="736"/>
      <c r="C20" s="776"/>
      <c r="K20" s="737"/>
    </row>
    <row r="21" spans="1:12" ht="15" customHeight="1">
      <c r="A21" s="736"/>
      <c r="B21" s="736"/>
      <c r="C21" s="776"/>
      <c r="K21" s="737"/>
    </row>
    <row r="22" spans="1:12" ht="15" customHeight="1">
      <c r="A22" s="736"/>
      <c r="B22" s="736"/>
      <c r="C22" s="776"/>
      <c r="K22" s="737"/>
    </row>
    <row r="23" spans="1:12" ht="15" customHeight="1">
      <c r="E23" s="320"/>
      <c r="F23" s="320"/>
      <c r="G23" s="320"/>
      <c r="H23" s="320"/>
      <c r="I23" s="739"/>
      <c r="J23" s="739"/>
      <c r="K23" s="335"/>
    </row>
    <row r="24" spans="1:12" ht="15" customHeight="1">
      <c r="E24" s="320"/>
      <c r="F24" s="320"/>
      <c r="G24" s="320"/>
      <c r="H24" s="320"/>
      <c r="I24" s="739"/>
      <c r="J24" s="739"/>
      <c r="K24" s="335"/>
    </row>
    <row r="25" spans="1:12" ht="15" customHeight="1">
      <c r="E25" s="320"/>
      <c r="F25" s="320"/>
      <c r="G25" s="320"/>
      <c r="H25" s="320"/>
      <c r="I25" s="739"/>
      <c r="J25" s="739"/>
      <c r="K25" s="335"/>
    </row>
    <row r="26" spans="1:12" ht="15" customHeight="1">
      <c r="E26" s="320"/>
      <c r="F26" s="320"/>
      <c r="G26" s="320"/>
      <c r="H26" s="320"/>
      <c r="I26" s="739"/>
      <c r="J26" s="739"/>
      <c r="K26" s="335"/>
    </row>
    <row r="27" spans="1:12" ht="15" customHeight="1">
      <c r="E27" s="320"/>
      <c r="F27" s="320"/>
      <c r="G27" s="320"/>
      <c r="H27" s="320"/>
      <c r="I27" s="739"/>
      <c r="J27" s="739"/>
      <c r="K27" s="335"/>
    </row>
    <row r="28" spans="1:12" ht="12" customHeight="1">
      <c r="E28" s="320"/>
      <c r="F28" s="320"/>
      <c r="G28" s="320"/>
      <c r="H28" s="320"/>
      <c r="I28" s="739"/>
      <c r="J28" s="739"/>
      <c r="K28" s="335"/>
    </row>
    <row r="29" spans="1:12" ht="12" customHeight="1">
      <c r="E29" s="320"/>
      <c r="F29" s="320"/>
      <c r="G29" s="320"/>
      <c r="H29" s="320"/>
      <c r="I29" s="739"/>
      <c r="J29" s="739"/>
      <c r="K29" s="335"/>
    </row>
    <row r="30" spans="1:12" ht="12" customHeight="1">
      <c r="E30" s="320"/>
      <c r="F30" s="320"/>
      <c r="G30" s="320"/>
      <c r="H30" s="320"/>
      <c r="I30" s="739"/>
      <c r="J30" s="739"/>
      <c r="K30" s="335"/>
    </row>
    <row r="31" spans="1:12" ht="12" customHeight="1">
      <c r="E31" s="320"/>
      <c r="F31" s="320"/>
      <c r="G31" s="320"/>
      <c r="H31" s="320"/>
      <c r="I31" s="739"/>
      <c r="J31" s="739"/>
      <c r="K31" s="335"/>
    </row>
    <row r="32" spans="1:12" ht="12" customHeight="1">
      <c r="E32" s="320"/>
      <c r="F32" s="320"/>
      <c r="G32" s="320"/>
      <c r="H32" s="320"/>
      <c r="I32" s="739"/>
      <c r="J32" s="739"/>
      <c r="K32" s="335"/>
    </row>
    <row r="33" spans="5:11" ht="12" customHeight="1">
      <c r="E33" s="320"/>
      <c r="F33" s="320"/>
      <c r="G33" s="320"/>
      <c r="H33" s="320"/>
      <c r="I33" s="739"/>
      <c r="J33" s="739"/>
      <c r="K33" s="335"/>
    </row>
    <row r="34" spans="5:11" ht="12" customHeight="1">
      <c r="E34" s="320"/>
      <c r="F34" s="320"/>
      <c r="G34" s="320"/>
      <c r="H34" s="320"/>
      <c r="I34" s="739"/>
      <c r="J34" s="739"/>
      <c r="K34" s="335"/>
    </row>
    <row r="35" spans="5:11" ht="12" customHeight="1">
      <c r="E35" s="320"/>
      <c r="F35" s="320"/>
      <c r="G35" s="320"/>
      <c r="H35" s="320"/>
      <c r="I35" s="739"/>
      <c r="J35" s="739"/>
      <c r="K35" s="335"/>
    </row>
    <row r="36" spans="5:11" ht="12" customHeight="1">
      <c r="E36" s="320"/>
      <c r="F36" s="320"/>
      <c r="G36" s="320"/>
      <c r="H36" s="320"/>
      <c r="I36" s="739"/>
      <c r="J36" s="739"/>
      <c r="K36" s="335"/>
    </row>
    <row r="37" spans="5:11" ht="12" customHeight="1">
      <c r="E37" s="320"/>
      <c r="F37" s="320"/>
      <c r="G37" s="320"/>
      <c r="H37" s="320"/>
      <c r="I37" s="739"/>
      <c r="J37" s="739"/>
      <c r="K37" s="335"/>
    </row>
    <row r="38" spans="5:11" ht="12" customHeight="1">
      <c r="E38" s="320"/>
      <c r="F38" s="320"/>
      <c r="G38" s="320"/>
      <c r="H38" s="320"/>
      <c r="I38" s="739"/>
      <c r="J38" s="739"/>
      <c r="K38" s="335"/>
    </row>
    <row r="39" spans="5:11" ht="12" customHeight="1">
      <c r="E39" s="320"/>
      <c r="F39" s="320"/>
      <c r="G39" s="320"/>
      <c r="H39" s="320"/>
      <c r="I39" s="739"/>
      <c r="J39" s="739"/>
      <c r="K39" s="335"/>
    </row>
    <row r="40" spans="5:11" ht="12" customHeight="1">
      <c r="E40" s="320"/>
      <c r="F40" s="320"/>
      <c r="G40" s="320"/>
      <c r="H40" s="320"/>
      <c r="I40" s="739"/>
      <c r="J40" s="739"/>
      <c r="K40" s="335"/>
    </row>
    <row r="41" spans="5:11" ht="12" customHeight="1">
      <c r="E41" s="320"/>
      <c r="F41" s="320"/>
      <c r="G41" s="320"/>
      <c r="H41" s="320"/>
      <c r="I41" s="739"/>
      <c r="J41" s="739"/>
      <c r="K41" s="335"/>
    </row>
    <row r="42" spans="5:11" ht="12" customHeight="1">
      <c r="E42" s="320"/>
      <c r="F42" s="320"/>
      <c r="G42" s="320"/>
      <c r="H42" s="320"/>
      <c r="I42" s="739"/>
      <c r="J42" s="739"/>
      <c r="K42" s="335"/>
    </row>
    <row r="43" spans="5:11" ht="12" customHeight="1">
      <c r="E43" s="320"/>
      <c r="F43" s="320"/>
      <c r="G43" s="320"/>
      <c r="H43" s="320"/>
      <c r="I43" s="739"/>
      <c r="J43" s="739"/>
      <c r="K43" s="335"/>
    </row>
    <row r="44" spans="5:11" ht="12" customHeight="1">
      <c r="E44" s="320"/>
      <c r="F44" s="320"/>
      <c r="G44" s="320"/>
      <c r="H44" s="320"/>
      <c r="I44" s="739"/>
      <c r="J44" s="739"/>
      <c r="K44" s="335"/>
    </row>
    <row r="45" spans="5:11" ht="12" customHeight="1">
      <c r="E45" s="320"/>
      <c r="F45" s="320"/>
      <c r="G45" s="320"/>
      <c r="H45" s="320"/>
      <c r="I45" s="739"/>
      <c r="J45" s="739"/>
      <c r="K45" s="335"/>
    </row>
    <row r="46" spans="5:11" ht="12" customHeight="1">
      <c r="E46" s="320"/>
      <c r="F46" s="320"/>
      <c r="G46" s="320"/>
      <c r="H46" s="320"/>
      <c r="I46" s="739"/>
      <c r="J46" s="739"/>
      <c r="K46" s="335"/>
    </row>
    <row r="47" spans="5:11" ht="12" customHeight="1">
      <c r="E47" s="320"/>
      <c r="F47" s="320"/>
      <c r="G47" s="320"/>
      <c r="H47" s="320"/>
      <c r="I47" s="739"/>
      <c r="J47" s="739"/>
      <c r="K47" s="335"/>
    </row>
    <row r="48" spans="5:11" ht="12" customHeight="1">
      <c r="E48" s="320"/>
      <c r="F48" s="320"/>
      <c r="G48" s="320"/>
      <c r="H48" s="320"/>
      <c r="I48" s="739"/>
      <c r="J48" s="739"/>
      <c r="K48" s="335"/>
    </row>
    <row r="49" spans="5:11" ht="12" customHeight="1">
      <c r="E49" s="320"/>
      <c r="F49" s="320"/>
      <c r="G49" s="320"/>
      <c r="H49" s="320"/>
      <c r="I49" s="739"/>
      <c r="J49" s="739"/>
      <c r="K49" s="335"/>
    </row>
    <row r="50" spans="5:11" ht="12" customHeight="1">
      <c r="E50" s="320"/>
      <c r="F50" s="320"/>
      <c r="G50" s="320"/>
      <c r="H50" s="320"/>
      <c r="I50" s="739"/>
      <c r="J50" s="739"/>
      <c r="K50" s="335"/>
    </row>
    <row r="51" spans="5:11" ht="12" customHeight="1">
      <c r="E51" s="320"/>
      <c r="F51" s="320"/>
      <c r="G51" s="320"/>
      <c r="H51" s="320"/>
      <c r="I51" s="739"/>
      <c r="J51" s="739"/>
      <c r="K51" s="335"/>
    </row>
    <row r="52" spans="5:11" ht="12" customHeight="1">
      <c r="E52" s="320"/>
      <c r="F52" s="320"/>
      <c r="G52" s="320"/>
      <c r="H52" s="320"/>
      <c r="I52" s="739"/>
      <c r="J52" s="739"/>
      <c r="K52" s="335"/>
    </row>
    <row r="53" spans="5:11" ht="12" customHeight="1">
      <c r="E53" s="320"/>
      <c r="F53" s="320"/>
      <c r="G53" s="320"/>
      <c r="H53" s="320"/>
      <c r="I53" s="739"/>
      <c r="J53" s="739"/>
      <c r="K53" s="335"/>
    </row>
    <row r="54" spans="5:11" ht="12" customHeight="1">
      <c r="E54" s="320"/>
      <c r="F54" s="320"/>
      <c r="G54" s="320"/>
      <c r="H54" s="320"/>
      <c r="I54" s="739"/>
      <c r="J54" s="739"/>
      <c r="K54" s="335"/>
    </row>
    <row r="55" spans="5:11" ht="12" customHeight="1">
      <c r="E55" s="320"/>
      <c r="F55" s="320"/>
      <c r="G55" s="320"/>
      <c r="H55" s="320"/>
      <c r="I55" s="739"/>
      <c r="J55" s="739"/>
      <c r="K55" s="335"/>
    </row>
    <row r="56" spans="5:11" ht="12" customHeight="1">
      <c r="E56" s="320"/>
      <c r="F56" s="320"/>
      <c r="G56" s="320"/>
      <c r="H56" s="320"/>
      <c r="I56" s="739"/>
      <c r="J56" s="739"/>
      <c r="K56" s="335"/>
    </row>
    <row r="57" spans="5:11" ht="12" customHeight="1">
      <c r="E57" s="320"/>
      <c r="F57" s="320"/>
      <c r="G57" s="320"/>
      <c r="H57" s="320"/>
      <c r="I57" s="739"/>
      <c r="J57" s="739"/>
      <c r="K57" s="335"/>
    </row>
    <row r="58" spans="5:11" ht="12" customHeight="1">
      <c r="E58" s="320"/>
      <c r="F58" s="320"/>
      <c r="G58" s="320"/>
      <c r="H58" s="320"/>
      <c r="I58" s="739"/>
      <c r="J58" s="739"/>
      <c r="K58" s="335"/>
    </row>
    <row r="59" spans="5:11" ht="12" customHeight="1">
      <c r="E59" s="320"/>
      <c r="F59" s="320"/>
      <c r="G59" s="320"/>
      <c r="H59" s="320"/>
      <c r="I59" s="739"/>
      <c r="J59" s="739"/>
      <c r="K59" s="335"/>
    </row>
    <row r="60" spans="5:11" ht="12" customHeight="1">
      <c r="E60" s="320"/>
      <c r="F60" s="320"/>
      <c r="G60" s="320"/>
      <c r="H60" s="320"/>
      <c r="I60" s="739"/>
      <c r="J60" s="739"/>
      <c r="K60" s="335"/>
    </row>
    <row r="61" spans="5:11" ht="12" customHeight="1">
      <c r="E61" s="320"/>
      <c r="F61" s="320"/>
      <c r="G61" s="320"/>
      <c r="H61" s="320"/>
      <c r="I61" s="739"/>
      <c r="J61" s="739"/>
      <c r="K61" s="335"/>
    </row>
    <row r="62" spans="5:11" ht="12" customHeight="1">
      <c r="E62" s="320"/>
      <c r="F62" s="320"/>
      <c r="G62" s="320"/>
      <c r="H62" s="320"/>
      <c r="I62" s="739"/>
      <c r="J62" s="739"/>
      <c r="K62" s="335"/>
    </row>
    <row r="63" spans="5:11" ht="12" customHeight="1">
      <c r="E63" s="320"/>
      <c r="F63" s="320"/>
      <c r="G63" s="320"/>
      <c r="H63" s="320"/>
      <c r="I63" s="739"/>
      <c r="J63" s="739"/>
      <c r="K63" s="335"/>
    </row>
    <row r="64" spans="5:11" ht="12" customHeight="1">
      <c r="E64" s="320"/>
      <c r="F64" s="320"/>
      <c r="G64" s="320"/>
      <c r="H64" s="320"/>
      <c r="I64" s="739"/>
      <c r="J64" s="739"/>
      <c r="K64" s="335"/>
    </row>
    <row r="65" spans="5:11" ht="12" customHeight="1">
      <c r="E65" s="320"/>
      <c r="F65" s="320"/>
      <c r="G65" s="320"/>
      <c r="H65" s="320"/>
      <c r="I65" s="739"/>
      <c r="J65" s="739"/>
      <c r="K65" s="335"/>
    </row>
    <row r="66" spans="5:11" ht="12" customHeight="1">
      <c r="E66" s="320"/>
      <c r="F66" s="320"/>
      <c r="G66" s="320"/>
      <c r="H66" s="320"/>
      <c r="I66" s="739"/>
      <c r="J66" s="739"/>
      <c r="K66" s="335"/>
    </row>
    <row r="67" spans="5:11" ht="12" customHeight="1">
      <c r="E67" s="320"/>
      <c r="F67" s="320"/>
      <c r="G67" s="320"/>
      <c r="H67" s="320"/>
      <c r="I67" s="739"/>
      <c r="J67" s="739"/>
      <c r="K67" s="335"/>
    </row>
    <row r="68" spans="5:11" ht="12" customHeight="1">
      <c r="E68" s="320"/>
      <c r="F68" s="320"/>
      <c r="G68" s="320"/>
      <c r="H68" s="320"/>
      <c r="I68" s="739"/>
      <c r="J68" s="739"/>
      <c r="K68" s="335"/>
    </row>
    <row r="69" spans="5:11" ht="12" customHeight="1">
      <c r="E69" s="320"/>
      <c r="F69" s="320"/>
      <c r="G69" s="320"/>
      <c r="H69" s="320"/>
      <c r="I69" s="739"/>
      <c r="J69" s="739"/>
      <c r="K69" s="335"/>
    </row>
    <row r="70" spans="5:11" ht="12" customHeight="1">
      <c r="E70" s="320"/>
      <c r="F70" s="320"/>
      <c r="G70" s="320"/>
      <c r="H70" s="320"/>
      <c r="I70" s="739"/>
      <c r="J70" s="739"/>
      <c r="K70" s="335"/>
    </row>
    <row r="71" spans="5:11" ht="12" customHeight="1">
      <c r="E71" s="320"/>
      <c r="F71" s="320"/>
      <c r="G71" s="320"/>
      <c r="H71" s="320"/>
      <c r="I71" s="739"/>
      <c r="J71" s="739"/>
      <c r="K71" s="335"/>
    </row>
    <row r="72" spans="5:11" ht="12" customHeight="1">
      <c r="E72" s="320"/>
      <c r="F72" s="320"/>
      <c r="G72" s="320"/>
      <c r="H72" s="320"/>
      <c r="I72" s="739"/>
      <c r="J72" s="739"/>
      <c r="K72" s="335"/>
    </row>
    <row r="73" spans="5:11" ht="12" customHeight="1">
      <c r="E73" s="320"/>
      <c r="F73" s="320"/>
      <c r="G73" s="320"/>
      <c r="H73" s="320"/>
      <c r="I73" s="739"/>
      <c r="J73" s="739"/>
      <c r="K73" s="335"/>
    </row>
    <row r="74" spans="5:11" ht="12" customHeight="1">
      <c r="E74" s="320"/>
      <c r="F74" s="320"/>
      <c r="G74" s="320"/>
      <c r="H74" s="320"/>
      <c r="I74" s="739"/>
      <c r="J74" s="739"/>
      <c r="K74" s="335"/>
    </row>
    <row r="75" spans="5:11" ht="12" customHeight="1">
      <c r="E75" s="320"/>
      <c r="F75" s="320"/>
      <c r="G75" s="320"/>
      <c r="H75" s="320"/>
      <c r="I75" s="739"/>
      <c r="J75" s="739"/>
      <c r="K75" s="335"/>
    </row>
    <row r="76" spans="5:11" ht="12" customHeight="1">
      <c r="E76" s="320"/>
      <c r="F76" s="320"/>
      <c r="G76" s="320"/>
      <c r="H76" s="320"/>
      <c r="I76" s="739"/>
      <c r="J76" s="739"/>
      <c r="K76" s="335"/>
    </row>
    <row r="77" spans="5:11" ht="12" customHeight="1">
      <c r="E77" s="320"/>
      <c r="F77" s="320"/>
      <c r="G77" s="320"/>
      <c r="H77" s="320"/>
      <c r="I77" s="739"/>
      <c r="J77" s="739"/>
      <c r="K77" s="335"/>
    </row>
    <row r="78" spans="5:11" ht="12" customHeight="1">
      <c r="E78" s="320"/>
      <c r="F78" s="320"/>
      <c r="G78" s="320"/>
      <c r="H78" s="320"/>
      <c r="I78" s="739"/>
      <c r="J78" s="739"/>
      <c r="K78" s="335"/>
    </row>
    <row r="79" spans="5:11" ht="12" customHeight="1">
      <c r="E79" s="320"/>
      <c r="F79" s="320"/>
      <c r="G79" s="320"/>
      <c r="H79" s="320"/>
      <c r="I79" s="739"/>
      <c r="J79" s="739"/>
      <c r="K79" s="335"/>
    </row>
    <row r="80" spans="5:11" ht="12" customHeight="1">
      <c r="E80" s="320"/>
      <c r="F80" s="320"/>
      <c r="G80" s="320"/>
      <c r="H80" s="320"/>
      <c r="I80" s="739"/>
      <c r="J80" s="739"/>
      <c r="K80" s="335"/>
    </row>
    <row r="81" spans="5:11" ht="12" customHeight="1">
      <c r="E81" s="320"/>
      <c r="F81" s="320"/>
      <c r="G81" s="320"/>
      <c r="H81" s="320"/>
      <c r="I81" s="739"/>
      <c r="J81" s="739"/>
      <c r="K81" s="335"/>
    </row>
    <row r="82" spans="5:11" ht="12" customHeight="1">
      <c r="E82" s="320"/>
      <c r="F82" s="320"/>
      <c r="G82" s="320"/>
      <c r="H82" s="320"/>
      <c r="I82" s="739"/>
      <c r="J82" s="739"/>
      <c r="K82" s="335"/>
    </row>
    <row r="83" spans="5:11" ht="12" customHeight="1">
      <c r="E83" s="320"/>
      <c r="F83" s="320"/>
      <c r="G83" s="320"/>
      <c r="H83" s="320"/>
      <c r="I83" s="739"/>
      <c r="J83" s="739"/>
      <c r="K83" s="335"/>
    </row>
    <row r="84" spans="5:11" ht="12" customHeight="1">
      <c r="E84" s="320"/>
      <c r="F84" s="320"/>
      <c r="G84" s="320"/>
      <c r="H84" s="320"/>
      <c r="I84" s="739"/>
      <c r="J84" s="739"/>
      <c r="K84" s="335"/>
    </row>
    <row r="85" spans="5:11" ht="12" customHeight="1">
      <c r="E85" s="320"/>
      <c r="F85" s="320"/>
      <c r="G85" s="320"/>
      <c r="H85" s="320"/>
      <c r="I85" s="739"/>
      <c r="J85" s="739"/>
      <c r="K85" s="335"/>
    </row>
    <row r="86" spans="5:11" ht="12" customHeight="1">
      <c r="E86" s="320"/>
      <c r="F86" s="320"/>
      <c r="G86" s="320"/>
      <c r="H86" s="320"/>
      <c r="I86" s="739"/>
      <c r="J86" s="739"/>
      <c r="K86" s="335"/>
    </row>
    <row r="87" spans="5:11" ht="12" customHeight="1">
      <c r="E87" s="320"/>
      <c r="F87" s="320"/>
      <c r="G87" s="320"/>
      <c r="H87" s="320"/>
      <c r="I87" s="739"/>
      <c r="J87" s="739"/>
      <c r="K87" s="335"/>
    </row>
    <row r="88" spans="5:11" ht="12" customHeight="1">
      <c r="E88" s="320"/>
      <c r="F88" s="320"/>
      <c r="G88" s="320"/>
      <c r="H88" s="320"/>
      <c r="I88" s="739"/>
      <c r="J88" s="739"/>
      <c r="K88" s="335"/>
    </row>
    <row r="89" spans="5:11" ht="12" customHeight="1">
      <c r="E89" s="320"/>
      <c r="F89" s="320"/>
      <c r="G89" s="320"/>
      <c r="H89" s="320"/>
      <c r="I89" s="739"/>
      <c r="J89" s="739"/>
      <c r="K89" s="335"/>
    </row>
    <row r="90" spans="5:11" ht="12" customHeight="1">
      <c r="E90" s="320"/>
      <c r="F90" s="320"/>
      <c r="G90" s="320"/>
      <c r="H90" s="320"/>
      <c r="I90" s="739"/>
      <c r="J90" s="739"/>
      <c r="K90" s="335"/>
    </row>
    <row r="91" spans="5:11" ht="12" customHeight="1">
      <c r="E91" s="320"/>
      <c r="F91" s="320"/>
      <c r="G91" s="320"/>
      <c r="H91" s="320"/>
      <c r="I91" s="739"/>
      <c r="J91" s="739"/>
      <c r="K91" s="335"/>
    </row>
    <row r="92" spans="5:11" ht="12" customHeight="1">
      <c r="E92" s="320"/>
      <c r="F92" s="320"/>
      <c r="G92" s="320"/>
      <c r="H92" s="320"/>
      <c r="I92" s="739"/>
      <c r="J92" s="739"/>
      <c r="K92" s="335"/>
    </row>
    <row r="93" spans="5:11" ht="12" customHeight="1">
      <c r="E93" s="320"/>
      <c r="F93" s="320"/>
      <c r="G93" s="320"/>
      <c r="H93" s="320"/>
      <c r="I93" s="739"/>
      <c r="J93" s="739"/>
      <c r="K93" s="335"/>
    </row>
    <row r="94" spans="5:11" ht="12" customHeight="1">
      <c r="E94" s="320"/>
      <c r="F94" s="320"/>
      <c r="G94" s="320"/>
      <c r="H94" s="320"/>
      <c r="I94" s="739"/>
      <c r="J94" s="739"/>
      <c r="K94" s="335"/>
    </row>
    <row r="95" spans="5:11" ht="12" customHeight="1">
      <c r="E95" s="320"/>
      <c r="F95" s="320"/>
      <c r="G95" s="320"/>
      <c r="H95" s="320"/>
      <c r="I95" s="739"/>
      <c r="J95" s="739"/>
      <c r="K95" s="335"/>
    </row>
    <row r="96" spans="5:11" ht="12" customHeight="1">
      <c r="E96" s="320"/>
      <c r="F96" s="320"/>
      <c r="G96" s="320"/>
      <c r="H96" s="320"/>
      <c r="I96" s="739"/>
      <c r="J96" s="739"/>
      <c r="K96" s="335"/>
    </row>
    <row r="97" spans="5:11" ht="12" customHeight="1">
      <c r="E97" s="320"/>
      <c r="F97" s="320"/>
      <c r="G97" s="320"/>
      <c r="H97" s="320"/>
      <c r="I97" s="739"/>
      <c r="J97" s="739"/>
      <c r="K97" s="335"/>
    </row>
    <row r="98" spans="5:11" ht="12" customHeight="1">
      <c r="E98" s="320"/>
      <c r="F98" s="320"/>
      <c r="G98" s="320"/>
      <c r="H98" s="320"/>
      <c r="I98" s="739"/>
      <c r="J98" s="739"/>
      <c r="K98" s="335"/>
    </row>
    <row r="99" spans="5:11" ht="12" customHeight="1">
      <c r="E99" s="320"/>
      <c r="F99" s="320"/>
      <c r="G99" s="320"/>
      <c r="H99" s="320"/>
      <c r="I99" s="739"/>
      <c r="J99" s="739"/>
      <c r="K99" s="335"/>
    </row>
    <row r="100" spans="5:11" ht="12" customHeight="1">
      <c r="E100" s="320"/>
      <c r="F100" s="320"/>
      <c r="G100" s="320"/>
      <c r="H100" s="320"/>
      <c r="I100" s="739"/>
      <c r="J100" s="739"/>
      <c r="K100" s="335"/>
    </row>
    <row r="101" spans="5:11" ht="12" customHeight="1">
      <c r="E101" s="320"/>
      <c r="F101" s="320"/>
      <c r="G101" s="320"/>
      <c r="H101" s="320"/>
      <c r="I101" s="739"/>
      <c r="J101" s="739"/>
      <c r="K101" s="335"/>
    </row>
    <row r="102" spans="5:11" ht="12" customHeight="1">
      <c r="E102" s="320"/>
      <c r="F102" s="320"/>
      <c r="G102" s="320"/>
      <c r="H102" s="320"/>
      <c r="I102" s="739"/>
      <c r="J102" s="739"/>
      <c r="K102" s="335"/>
    </row>
    <row r="103" spans="5:11" ht="12" customHeight="1">
      <c r="E103" s="320"/>
      <c r="F103" s="320"/>
      <c r="G103" s="320"/>
      <c r="H103" s="320"/>
      <c r="I103" s="739"/>
      <c r="J103" s="739"/>
      <c r="K103" s="335"/>
    </row>
    <row r="104" spans="5:11" ht="12" customHeight="1">
      <c r="E104" s="320"/>
      <c r="F104" s="320"/>
      <c r="G104" s="320"/>
      <c r="H104" s="320"/>
      <c r="I104" s="739"/>
      <c r="J104" s="739"/>
      <c r="K104" s="335"/>
    </row>
    <row r="105" spans="5:11" ht="12" customHeight="1">
      <c r="E105" s="320"/>
      <c r="F105" s="320"/>
      <c r="G105" s="320"/>
      <c r="H105" s="320"/>
      <c r="I105" s="739"/>
      <c r="J105" s="739"/>
      <c r="K105" s="335"/>
    </row>
    <row r="106" spans="5:11" ht="12" customHeight="1">
      <c r="E106" s="320"/>
      <c r="F106" s="320"/>
      <c r="G106" s="320"/>
      <c r="H106" s="320"/>
      <c r="I106" s="739"/>
      <c r="J106" s="739"/>
      <c r="K106" s="335"/>
    </row>
    <row r="107" spans="5:11" ht="12" customHeight="1">
      <c r="E107" s="320"/>
      <c r="F107" s="320"/>
      <c r="G107" s="320"/>
      <c r="H107" s="320"/>
      <c r="I107" s="739"/>
      <c r="J107" s="739"/>
      <c r="K107" s="335"/>
    </row>
    <row r="108" spans="5:11" ht="12" customHeight="1">
      <c r="E108" s="320"/>
      <c r="F108" s="320"/>
      <c r="G108" s="320"/>
      <c r="H108" s="320"/>
      <c r="I108" s="739"/>
      <c r="J108" s="739"/>
      <c r="K108" s="335"/>
    </row>
    <row r="109" spans="5:11" ht="12" customHeight="1">
      <c r="E109" s="320"/>
      <c r="F109" s="320"/>
      <c r="G109" s="320"/>
      <c r="H109" s="320"/>
      <c r="I109" s="739"/>
      <c r="J109" s="739"/>
      <c r="K109" s="335"/>
    </row>
    <row r="110" spans="5:11" ht="12" customHeight="1">
      <c r="E110" s="320"/>
      <c r="F110" s="320"/>
      <c r="G110" s="320"/>
      <c r="H110" s="320"/>
      <c r="I110" s="739"/>
      <c r="J110" s="739"/>
      <c r="K110" s="335"/>
    </row>
    <row r="111" spans="5:11" ht="12" customHeight="1">
      <c r="E111" s="320"/>
      <c r="F111" s="320"/>
      <c r="G111" s="320"/>
      <c r="H111" s="320"/>
      <c r="I111" s="739"/>
      <c r="J111" s="739"/>
      <c r="K111" s="335"/>
    </row>
    <row r="112" spans="5:11" ht="12" customHeight="1">
      <c r="E112" s="320"/>
      <c r="F112" s="320"/>
      <c r="G112" s="320"/>
      <c r="H112" s="320"/>
      <c r="I112" s="739"/>
      <c r="J112" s="739"/>
      <c r="K112" s="335"/>
    </row>
    <row r="113" spans="5:11" ht="12" customHeight="1">
      <c r="E113" s="320"/>
      <c r="F113" s="320"/>
      <c r="G113" s="320"/>
      <c r="H113" s="320"/>
      <c r="I113" s="739"/>
      <c r="J113" s="739"/>
      <c r="K113" s="335"/>
    </row>
    <row r="114" spans="5:11" ht="12" customHeight="1">
      <c r="E114" s="320"/>
      <c r="F114" s="320"/>
      <c r="G114" s="320"/>
      <c r="H114" s="320"/>
      <c r="I114" s="739"/>
      <c r="J114" s="739"/>
      <c r="K114" s="335"/>
    </row>
    <row r="115" spans="5:11" ht="12" customHeight="1">
      <c r="E115" s="320"/>
      <c r="F115" s="320"/>
      <c r="G115" s="320"/>
      <c r="H115" s="320"/>
      <c r="I115" s="739"/>
      <c r="J115" s="739"/>
      <c r="K115" s="335"/>
    </row>
    <row r="116" spans="5:11" ht="12" customHeight="1">
      <c r="E116" s="320"/>
      <c r="F116" s="320"/>
      <c r="G116" s="320"/>
      <c r="H116" s="320"/>
      <c r="I116" s="739"/>
      <c r="J116" s="739"/>
      <c r="K116" s="335"/>
    </row>
    <row r="117" spans="5:11" ht="12" customHeight="1">
      <c r="E117" s="320"/>
      <c r="F117" s="320"/>
      <c r="G117" s="320"/>
      <c r="H117" s="320"/>
      <c r="I117" s="739"/>
      <c r="J117" s="739"/>
      <c r="K117" s="335"/>
    </row>
    <row r="118" spans="5:11" ht="12" customHeight="1">
      <c r="E118" s="320"/>
      <c r="F118" s="320"/>
      <c r="G118" s="320"/>
      <c r="H118" s="320"/>
      <c r="I118" s="739"/>
      <c r="J118" s="739"/>
      <c r="K118" s="335"/>
    </row>
    <row r="119" spans="5:11" ht="12" customHeight="1">
      <c r="E119" s="320"/>
      <c r="F119" s="320"/>
      <c r="G119" s="320"/>
      <c r="H119" s="320"/>
      <c r="I119" s="739"/>
      <c r="J119" s="739"/>
      <c r="K119" s="335"/>
    </row>
    <row r="120" spans="5:11" ht="12" customHeight="1">
      <c r="E120" s="320"/>
      <c r="F120" s="320"/>
      <c r="G120" s="320"/>
      <c r="H120" s="320"/>
      <c r="I120" s="739"/>
      <c r="J120" s="739"/>
      <c r="K120" s="335"/>
    </row>
    <row r="121" spans="5:11" ht="12" customHeight="1">
      <c r="E121" s="320"/>
      <c r="F121" s="320"/>
      <c r="G121" s="320"/>
      <c r="H121" s="320"/>
      <c r="I121" s="739"/>
      <c r="J121" s="739"/>
      <c r="K121" s="335"/>
    </row>
    <row r="122" spans="5:11" ht="12" customHeight="1">
      <c r="E122" s="320"/>
      <c r="F122" s="320"/>
      <c r="G122" s="320"/>
      <c r="H122" s="320"/>
      <c r="I122" s="739"/>
      <c r="J122" s="739"/>
      <c r="K122" s="335"/>
    </row>
    <row r="123" spans="5:11" ht="12" customHeight="1">
      <c r="E123" s="320"/>
      <c r="F123" s="320"/>
      <c r="G123" s="320"/>
      <c r="H123" s="320"/>
      <c r="I123" s="739"/>
      <c r="J123" s="739"/>
      <c r="K123" s="335"/>
    </row>
    <row r="124" spans="5:11" ht="12" customHeight="1">
      <c r="E124" s="320"/>
      <c r="F124" s="320"/>
      <c r="G124" s="320"/>
      <c r="H124" s="320"/>
      <c r="I124" s="739"/>
      <c r="J124" s="739"/>
      <c r="K124" s="335"/>
    </row>
    <row r="125" spans="5:11" ht="12" customHeight="1">
      <c r="E125" s="320"/>
      <c r="F125" s="320"/>
      <c r="G125" s="320"/>
      <c r="H125" s="320"/>
      <c r="I125" s="739"/>
      <c r="J125" s="739"/>
      <c r="K125" s="335"/>
    </row>
    <row r="126" spans="5:11" ht="12" customHeight="1">
      <c r="E126" s="320"/>
      <c r="F126" s="320"/>
      <c r="G126" s="320"/>
      <c r="H126" s="320"/>
      <c r="I126" s="739"/>
      <c r="J126" s="739"/>
      <c r="K126" s="335"/>
    </row>
    <row r="127" spans="5:11" ht="12" customHeight="1">
      <c r="E127" s="320"/>
      <c r="F127" s="320"/>
      <c r="G127" s="320"/>
      <c r="H127" s="320"/>
      <c r="I127" s="739"/>
      <c r="J127" s="739"/>
      <c r="K127" s="335"/>
    </row>
  </sheetData>
  <mergeCells count="4">
    <mergeCell ref="A9:J9"/>
    <mergeCell ref="A13:J13"/>
    <mergeCell ref="A16:J16"/>
    <mergeCell ref="A19:J19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90" fitToHeight="3" orientation="landscape" r:id="rId1"/>
  <headerFooter alignWithMargins="0"/>
  <ignoredErrors>
    <ignoredError sqref="A3:F4 I13:K13 I3:J12 I14:J15 I17:J18 A5:G15 K3:K8 K10:K12 K16 K14:K15 K17:K18" unlockedFormula="1"/>
    <ignoredError sqref="K9" formula="1" unlockedFormula="1"/>
  </ignoredErrors>
  <legacy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27"/>
  <sheetViews>
    <sheetView view="pageBreakPreview" topLeftCell="A10" zoomScaleNormal="115" workbookViewId="0">
      <selection activeCell="A10" sqref="A1:XFD1048576"/>
    </sheetView>
  </sheetViews>
  <sheetFormatPr defaultRowHeight="12" customHeight="1"/>
  <cols>
    <col min="1" max="1" width="9.21875" style="318" customWidth="1"/>
    <col min="2" max="2" width="3.88671875" style="318" customWidth="1"/>
    <col min="3" max="3" width="5.5546875" style="318" customWidth="1"/>
    <col min="4" max="4" width="44.44140625" style="324" customWidth="1"/>
    <col min="5" max="8" width="7.77734375" style="324" customWidth="1"/>
    <col min="9" max="10" width="7.77734375" style="737" customWidth="1"/>
    <col min="11" max="11" width="7.77734375" style="336" customWidth="1"/>
    <col min="12" max="12" width="5.77734375" style="323" customWidth="1"/>
    <col min="13" max="257" width="8.88671875" style="323"/>
    <col min="258" max="258" width="6.109375" style="323" customWidth="1"/>
    <col min="259" max="259" width="3.88671875" style="323" customWidth="1"/>
    <col min="260" max="260" width="5.5546875" style="323" customWidth="1"/>
    <col min="261" max="261" width="44.44140625" style="323" customWidth="1"/>
    <col min="262" max="267" width="7.77734375" style="323" customWidth="1"/>
    <col min="268" max="268" width="5.77734375" style="323" customWidth="1"/>
    <col min="269" max="513" width="8.88671875" style="323"/>
    <col min="514" max="514" width="6.109375" style="323" customWidth="1"/>
    <col min="515" max="515" width="3.88671875" style="323" customWidth="1"/>
    <col min="516" max="516" width="5.5546875" style="323" customWidth="1"/>
    <col min="517" max="517" width="44.44140625" style="323" customWidth="1"/>
    <col min="518" max="523" width="7.77734375" style="323" customWidth="1"/>
    <col min="524" max="524" width="5.77734375" style="323" customWidth="1"/>
    <col min="525" max="769" width="8.88671875" style="323"/>
    <col min="770" max="770" width="6.109375" style="323" customWidth="1"/>
    <col min="771" max="771" width="3.88671875" style="323" customWidth="1"/>
    <col min="772" max="772" width="5.5546875" style="323" customWidth="1"/>
    <col min="773" max="773" width="44.44140625" style="323" customWidth="1"/>
    <col min="774" max="779" width="7.77734375" style="323" customWidth="1"/>
    <col min="780" max="780" width="5.77734375" style="323" customWidth="1"/>
    <col min="781" max="1025" width="8.88671875" style="323"/>
    <col min="1026" max="1026" width="6.109375" style="323" customWidth="1"/>
    <col min="1027" max="1027" width="3.88671875" style="323" customWidth="1"/>
    <col min="1028" max="1028" width="5.5546875" style="323" customWidth="1"/>
    <col min="1029" max="1029" width="44.44140625" style="323" customWidth="1"/>
    <col min="1030" max="1035" width="7.77734375" style="323" customWidth="1"/>
    <col min="1036" max="1036" width="5.77734375" style="323" customWidth="1"/>
    <col min="1037" max="1281" width="8.88671875" style="323"/>
    <col min="1282" max="1282" width="6.109375" style="323" customWidth="1"/>
    <col min="1283" max="1283" width="3.88671875" style="323" customWidth="1"/>
    <col min="1284" max="1284" width="5.5546875" style="323" customWidth="1"/>
    <col min="1285" max="1285" width="44.44140625" style="323" customWidth="1"/>
    <col min="1286" max="1291" width="7.77734375" style="323" customWidth="1"/>
    <col min="1292" max="1292" width="5.77734375" style="323" customWidth="1"/>
    <col min="1293" max="1537" width="8.88671875" style="323"/>
    <col min="1538" max="1538" width="6.109375" style="323" customWidth="1"/>
    <col min="1539" max="1539" width="3.88671875" style="323" customWidth="1"/>
    <col min="1540" max="1540" width="5.5546875" style="323" customWidth="1"/>
    <col min="1541" max="1541" width="44.44140625" style="323" customWidth="1"/>
    <col min="1542" max="1547" width="7.77734375" style="323" customWidth="1"/>
    <col min="1548" max="1548" width="5.77734375" style="323" customWidth="1"/>
    <col min="1549" max="1793" width="8.88671875" style="323"/>
    <col min="1794" max="1794" width="6.109375" style="323" customWidth="1"/>
    <col min="1795" max="1795" width="3.88671875" style="323" customWidth="1"/>
    <col min="1796" max="1796" width="5.5546875" style="323" customWidth="1"/>
    <col min="1797" max="1797" width="44.44140625" style="323" customWidth="1"/>
    <col min="1798" max="1803" width="7.77734375" style="323" customWidth="1"/>
    <col min="1804" max="1804" width="5.77734375" style="323" customWidth="1"/>
    <col min="1805" max="2049" width="8.88671875" style="323"/>
    <col min="2050" max="2050" width="6.109375" style="323" customWidth="1"/>
    <col min="2051" max="2051" width="3.88671875" style="323" customWidth="1"/>
    <col min="2052" max="2052" width="5.5546875" style="323" customWidth="1"/>
    <col min="2053" max="2053" width="44.44140625" style="323" customWidth="1"/>
    <col min="2054" max="2059" width="7.77734375" style="323" customWidth="1"/>
    <col min="2060" max="2060" width="5.77734375" style="323" customWidth="1"/>
    <col min="2061" max="2305" width="8.88671875" style="323"/>
    <col min="2306" max="2306" width="6.109375" style="323" customWidth="1"/>
    <col min="2307" max="2307" width="3.88671875" style="323" customWidth="1"/>
    <col min="2308" max="2308" width="5.5546875" style="323" customWidth="1"/>
    <col min="2309" max="2309" width="44.44140625" style="323" customWidth="1"/>
    <col min="2310" max="2315" width="7.77734375" style="323" customWidth="1"/>
    <col min="2316" max="2316" width="5.77734375" style="323" customWidth="1"/>
    <col min="2317" max="2561" width="8.88671875" style="323"/>
    <col min="2562" max="2562" width="6.109375" style="323" customWidth="1"/>
    <col min="2563" max="2563" width="3.88671875" style="323" customWidth="1"/>
    <col min="2564" max="2564" width="5.5546875" style="323" customWidth="1"/>
    <col min="2565" max="2565" width="44.44140625" style="323" customWidth="1"/>
    <col min="2566" max="2571" width="7.77734375" style="323" customWidth="1"/>
    <col min="2572" max="2572" width="5.77734375" style="323" customWidth="1"/>
    <col min="2573" max="2817" width="8.88671875" style="323"/>
    <col min="2818" max="2818" width="6.109375" style="323" customWidth="1"/>
    <col min="2819" max="2819" width="3.88671875" style="323" customWidth="1"/>
    <col min="2820" max="2820" width="5.5546875" style="323" customWidth="1"/>
    <col min="2821" max="2821" width="44.44140625" style="323" customWidth="1"/>
    <col min="2822" max="2827" width="7.77734375" style="323" customWidth="1"/>
    <col min="2828" max="2828" width="5.77734375" style="323" customWidth="1"/>
    <col min="2829" max="3073" width="8.88671875" style="323"/>
    <col min="3074" max="3074" width="6.109375" style="323" customWidth="1"/>
    <col min="3075" max="3075" width="3.88671875" style="323" customWidth="1"/>
    <col min="3076" max="3076" width="5.5546875" style="323" customWidth="1"/>
    <col min="3077" max="3077" width="44.44140625" style="323" customWidth="1"/>
    <col min="3078" max="3083" width="7.77734375" style="323" customWidth="1"/>
    <col min="3084" max="3084" width="5.77734375" style="323" customWidth="1"/>
    <col min="3085" max="3329" width="8.88671875" style="323"/>
    <col min="3330" max="3330" width="6.109375" style="323" customWidth="1"/>
    <col min="3331" max="3331" width="3.88671875" style="323" customWidth="1"/>
    <col min="3332" max="3332" width="5.5546875" style="323" customWidth="1"/>
    <col min="3333" max="3333" width="44.44140625" style="323" customWidth="1"/>
    <col min="3334" max="3339" width="7.77734375" style="323" customWidth="1"/>
    <col min="3340" max="3340" width="5.77734375" style="323" customWidth="1"/>
    <col min="3341" max="3585" width="8.88671875" style="323"/>
    <col min="3586" max="3586" width="6.109375" style="323" customWidth="1"/>
    <col min="3587" max="3587" width="3.88671875" style="323" customWidth="1"/>
    <col min="3588" max="3588" width="5.5546875" style="323" customWidth="1"/>
    <col min="3589" max="3589" width="44.44140625" style="323" customWidth="1"/>
    <col min="3590" max="3595" width="7.77734375" style="323" customWidth="1"/>
    <col min="3596" max="3596" width="5.77734375" style="323" customWidth="1"/>
    <col min="3597" max="3841" width="8.88671875" style="323"/>
    <col min="3842" max="3842" width="6.109375" style="323" customWidth="1"/>
    <col min="3843" max="3843" width="3.88671875" style="323" customWidth="1"/>
    <col min="3844" max="3844" width="5.5546875" style="323" customWidth="1"/>
    <col min="3845" max="3845" width="44.44140625" style="323" customWidth="1"/>
    <col min="3846" max="3851" width="7.77734375" style="323" customWidth="1"/>
    <col min="3852" max="3852" width="5.77734375" style="323" customWidth="1"/>
    <col min="3853" max="4097" width="8.88671875" style="323"/>
    <col min="4098" max="4098" width="6.109375" style="323" customWidth="1"/>
    <col min="4099" max="4099" width="3.88671875" style="323" customWidth="1"/>
    <col min="4100" max="4100" width="5.5546875" style="323" customWidth="1"/>
    <col min="4101" max="4101" width="44.44140625" style="323" customWidth="1"/>
    <col min="4102" max="4107" width="7.77734375" style="323" customWidth="1"/>
    <col min="4108" max="4108" width="5.77734375" style="323" customWidth="1"/>
    <col min="4109" max="4353" width="8.88671875" style="323"/>
    <col min="4354" max="4354" width="6.109375" style="323" customWidth="1"/>
    <col min="4355" max="4355" width="3.88671875" style="323" customWidth="1"/>
    <col min="4356" max="4356" width="5.5546875" style="323" customWidth="1"/>
    <col min="4357" max="4357" width="44.44140625" style="323" customWidth="1"/>
    <col min="4358" max="4363" width="7.77734375" style="323" customWidth="1"/>
    <col min="4364" max="4364" width="5.77734375" style="323" customWidth="1"/>
    <col min="4365" max="4609" width="8.88671875" style="323"/>
    <col min="4610" max="4610" width="6.109375" style="323" customWidth="1"/>
    <col min="4611" max="4611" width="3.88671875" style="323" customWidth="1"/>
    <col min="4612" max="4612" width="5.5546875" style="323" customWidth="1"/>
    <col min="4613" max="4613" width="44.44140625" style="323" customWidth="1"/>
    <col min="4614" max="4619" width="7.77734375" style="323" customWidth="1"/>
    <col min="4620" max="4620" width="5.77734375" style="323" customWidth="1"/>
    <col min="4621" max="4865" width="8.88671875" style="323"/>
    <col min="4866" max="4866" width="6.109375" style="323" customWidth="1"/>
    <col min="4867" max="4867" width="3.88671875" style="323" customWidth="1"/>
    <col min="4868" max="4868" width="5.5546875" style="323" customWidth="1"/>
    <col min="4869" max="4869" width="44.44140625" style="323" customWidth="1"/>
    <col min="4870" max="4875" width="7.77734375" style="323" customWidth="1"/>
    <col min="4876" max="4876" width="5.77734375" style="323" customWidth="1"/>
    <col min="4877" max="5121" width="8.88671875" style="323"/>
    <col min="5122" max="5122" width="6.109375" style="323" customWidth="1"/>
    <col min="5123" max="5123" width="3.88671875" style="323" customWidth="1"/>
    <col min="5124" max="5124" width="5.5546875" style="323" customWidth="1"/>
    <col min="5125" max="5125" width="44.44140625" style="323" customWidth="1"/>
    <col min="5126" max="5131" width="7.77734375" style="323" customWidth="1"/>
    <col min="5132" max="5132" width="5.77734375" style="323" customWidth="1"/>
    <col min="5133" max="5377" width="8.88671875" style="323"/>
    <col min="5378" max="5378" width="6.109375" style="323" customWidth="1"/>
    <col min="5379" max="5379" width="3.88671875" style="323" customWidth="1"/>
    <col min="5380" max="5380" width="5.5546875" style="323" customWidth="1"/>
    <col min="5381" max="5381" width="44.44140625" style="323" customWidth="1"/>
    <col min="5382" max="5387" width="7.77734375" style="323" customWidth="1"/>
    <col min="5388" max="5388" width="5.77734375" style="323" customWidth="1"/>
    <col min="5389" max="5633" width="8.88671875" style="323"/>
    <col min="5634" max="5634" width="6.109375" style="323" customWidth="1"/>
    <col min="5635" max="5635" width="3.88671875" style="323" customWidth="1"/>
    <col min="5636" max="5636" width="5.5546875" style="323" customWidth="1"/>
    <col min="5637" max="5637" width="44.44140625" style="323" customWidth="1"/>
    <col min="5638" max="5643" width="7.77734375" style="323" customWidth="1"/>
    <col min="5644" max="5644" width="5.77734375" style="323" customWidth="1"/>
    <col min="5645" max="5889" width="8.88671875" style="323"/>
    <col min="5890" max="5890" width="6.109375" style="323" customWidth="1"/>
    <col min="5891" max="5891" width="3.88671875" style="323" customWidth="1"/>
    <col min="5892" max="5892" width="5.5546875" style="323" customWidth="1"/>
    <col min="5893" max="5893" width="44.44140625" style="323" customWidth="1"/>
    <col min="5894" max="5899" width="7.77734375" style="323" customWidth="1"/>
    <col min="5900" max="5900" width="5.77734375" style="323" customWidth="1"/>
    <col min="5901" max="6145" width="8.88671875" style="323"/>
    <col min="6146" max="6146" width="6.109375" style="323" customWidth="1"/>
    <col min="6147" max="6147" width="3.88671875" style="323" customWidth="1"/>
    <col min="6148" max="6148" width="5.5546875" style="323" customWidth="1"/>
    <col min="6149" max="6149" width="44.44140625" style="323" customWidth="1"/>
    <col min="6150" max="6155" width="7.77734375" style="323" customWidth="1"/>
    <col min="6156" max="6156" width="5.77734375" style="323" customWidth="1"/>
    <col min="6157" max="6401" width="8.88671875" style="323"/>
    <col min="6402" max="6402" width="6.109375" style="323" customWidth="1"/>
    <col min="6403" max="6403" width="3.88671875" style="323" customWidth="1"/>
    <col min="6404" max="6404" width="5.5546875" style="323" customWidth="1"/>
    <col min="6405" max="6405" width="44.44140625" style="323" customWidth="1"/>
    <col min="6406" max="6411" width="7.77734375" style="323" customWidth="1"/>
    <col min="6412" max="6412" width="5.77734375" style="323" customWidth="1"/>
    <col min="6413" max="6657" width="8.88671875" style="323"/>
    <col min="6658" max="6658" width="6.109375" style="323" customWidth="1"/>
    <col min="6659" max="6659" width="3.88671875" style="323" customWidth="1"/>
    <col min="6660" max="6660" width="5.5546875" style="323" customWidth="1"/>
    <col min="6661" max="6661" width="44.44140625" style="323" customWidth="1"/>
    <col min="6662" max="6667" width="7.77734375" style="323" customWidth="1"/>
    <col min="6668" max="6668" width="5.77734375" style="323" customWidth="1"/>
    <col min="6669" max="6913" width="8.88671875" style="323"/>
    <col min="6914" max="6914" width="6.109375" style="323" customWidth="1"/>
    <col min="6915" max="6915" width="3.88671875" style="323" customWidth="1"/>
    <col min="6916" max="6916" width="5.5546875" style="323" customWidth="1"/>
    <col min="6917" max="6917" width="44.44140625" style="323" customWidth="1"/>
    <col min="6918" max="6923" width="7.77734375" style="323" customWidth="1"/>
    <col min="6924" max="6924" width="5.77734375" style="323" customWidth="1"/>
    <col min="6925" max="7169" width="8.88671875" style="323"/>
    <col min="7170" max="7170" width="6.109375" style="323" customWidth="1"/>
    <col min="7171" max="7171" width="3.88671875" style="323" customWidth="1"/>
    <col min="7172" max="7172" width="5.5546875" style="323" customWidth="1"/>
    <col min="7173" max="7173" width="44.44140625" style="323" customWidth="1"/>
    <col min="7174" max="7179" width="7.77734375" style="323" customWidth="1"/>
    <col min="7180" max="7180" width="5.77734375" style="323" customWidth="1"/>
    <col min="7181" max="7425" width="8.88671875" style="323"/>
    <col min="7426" max="7426" width="6.109375" style="323" customWidth="1"/>
    <col min="7427" max="7427" width="3.88671875" style="323" customWidth="1"/>
    <col min="7428" max="7428" width="5.5546875" style="323" customWidth="1"/>
    <col min="7429" max="7429" width="44.44140625" style="323" customWidth="1"/>
    <col min="7430" max="7435" width="7.77734375" style="323" customWidth="1"/>
    <col min="7436" max="7436" width="5.77734375" style="323" customWidth="1"/>
    <col min="7437" max="7681" width="8.88671875" style="323"/>
    <col min="7682" max="7682" width="6.109375" style="323" customWidth="1"/>
    <col min="7683" max="7683" width="3.88671875" style="323" customWidth="1"/>
    <col min="7684" max="7684" width="5.5546875" style="323" customWidth="1"/>
    <col min="7685" max="7685" width="44.44140625" style="323" customWidth="1"/>
    <col min="7686" max="7691" width="7.77734375" style="323" customWidth="1"/>
    <col min="7692" max="7692" width="5.77734375" style="323" customWidth="1"/>
    <col min="7693" max="7937" width="8.88671875" style="323"/>
    <col min="7938" max="7938" width="6.109375" style="323" customWidth="1"/>
    <col min="7939" max="7939" width="3.88671875" style="323" customWidth="1"/>
    <col min="7940" max="7940" width="5.5546875" style="323" customWidth="1"/>
    <col min="7941" max="7941" width="44.44140625" style="323" customWidth="1"/>
    <col min="7942" max="7947" width="7.77734375" style="323" customWidth="1"/>
    <col min="7948" max="7948" width="5.77734375" style="323" customWidth="1"/>
    <col min="7949" max="8193" width="8.88671875" style="323"/>
    <col min="8194" max="8194" width="6.109375" style="323" customWidth="1"/>
    <col min="8195" max="8195" width="3.88671875" style="323" customWidth="1"/>
    <col min="8196" max="8196" width="5.5546875" style="323" customWidth="1"/>
    <col min="8197" max="8197" width="44.44140625" style="323" customWidth="1"/>
    <col min="8198" max="8203" width="7.77734375" style="323" customWidth="1"/>
    <col min="8204" max="8204" width="5.77734375" style="323" customWidth="1"/>
    <col min="8205" max="8449" width="8.88671875" style="323"/>
    <col min="8450" max="8450" width="6.109375" style="323" customWidth="1"/>
    <col min="8451" max="8451" width="3.88671875" style="323" customWidth="1"/>
    <col min="8452" max="8452" width="5.5546875" style="323" customWidth="1"/>
    <col min="8453" max="8453" width="44.44140625" style="323" customWidth="1"/>
    <col min="8454" max="8459" width="7.77734375" style="323" customWidth="1"/>
    <col min="8460" max="8460" width="5.77734375" style="323" customWidth="1"/>
    <col min="8461" max="8705" width="8.88671875" style="323"/>
    <col min="8706" max="8706" width="6.109375" style="323" customWidth="1"/>
    <col min="8707" max="8707" width="3.88671875" style="323" customWidth="1"/>
    <col min="8708" max="8708" width="5.5546875" style="323" customWidth="1"/>
    <col min="8709" max="8709" width="44.44140625" style="323" customWidth="1"/>
    <col min="8710" max="8715" width="7.77734375" style="323" customWidth="1"/>
    <col min="8716" max="8716" width="5.77734375" style="323" customWidth="1"/>
    <col min="8717" max="8961" width="8.88671875" style="323"/>
    <col min="8962" max="8962" width="6.109375" style="323" customWidth="1"/>
    <col min="8963" max="8963" width="3.88671875" style="323" customWidth="1"/>
    <col min="8964" max="8964" width="5.5546875" style="323" customWidth="1"/>
    <col min="8965" max="8965" width="44.44140625" style="323" customWidth="1"/>
    <col min="8966" max="8971" width="7.77734375" style="323" customWidth="1"/>
    <col min="8972" max="8972" width="5.77734375" style="323" customWidth="1"/>
    <col min="8973" max="9217" width="8.88671875" style="323"/>
    <col min="9218" max="9218" width="6.109375" style="323" customWidth="1"/>
    <col min="9219" max="9219" width="3.88671875" style="323" customWidth="1"/>
    <col min="9220" max="9220" width="5.5546875" style="323" customWidth="1"/>
    <col min="9221" max="9221" width="44.44140625" style="323" customWidth="1"/>
    <col min="9222" max="9227" width="7.77734375" style="323" customWidth="1"/>
    <col min="9228" max="9228" width="5.77734375" style="323" customWidth="1"/>
    <col min="9229" max="9473" width="8.88671875" style="323"/>
    <col min="9474" max="9474" width="6.109375" style="323" customWidth="1"/>
    <col min="9475" max="9475" width="3.88671875" style="323" customWidth="1"/>
    <col min="9476" max="9476" width="5.5546875" style="323" customWidth="1"/>
    <col min="9477" max="9477" width="44.44140625" style="323" customWidth="1"/>
    <col min="9478" max="9483" width="7.77734375" style="323" customWidth="1"/>
    <col min="9484" max="9484" width="5.77734375" style="323" customWidth="1"/>
    <col min="9485" max="9729" width="8.88671875" style="323"/>
    <col min="9730" max="9730" width="6.109375" style="323" customWidth="1"/>
    <col min="9731" max="9731" width="3.88671875" style="323" customWidth="1"/>
    <col min="9732" max="9732" width="5.5546875" style="323" customWidth="1"/>
    <col min="9733" max="9733" width="44.44140625" style="323" customWidth="1"/>
    <col min="9734" max="9739" width="7.77734375" style="323" customWidth="1"/>
    <col min="9740" max="9740" width="5.77734375" style="323" customWidth="1"/>
    <col min="9741" max="9985" width="8.88671875" style="323"/>
    <col min="9986" max="9986" width="6.109375" style="323" customWidth="1"/>
    <col min="9987" max="9987" width="3.88671875" style="323" customWidth="1"/>
    <col min="9988" max="9988" width="5.5546875" style="323" customWidth="1"/>
    <col min="9989" max="9989" width="44.44140625" style="323" customWidth="1"/>
    <col min="9990" max="9995" width="7.77734375" style="323" customWidth="1"/>
    <col min="9996" max="9996" width="5.77734375" style="323" customWidth="1"/>
    <col min="9997" max="10241" width="8.88671875" style="323"/>
    <col min="10242" max="10242" width="6.109375" style="323" customWidth="1"/>
    <col min="10243" max="10243" width="3.88671875" style="323" customWidth="1"/>
    <col min="10244" max="10244" width="5.5546875" style="323" customWidth="1"/>
    <col min="10245" max="10245" width="44.44140625" style="323" customWidth="1"/>
    <col min="10246" max="10251" width="7.77734375" style="323" customWidth="1"/>
    <col min="10252" max="10252" width="5.77734375" style="323" customWidth="1"/>
    <col min="10253" max="10497" width="8.88671875" style="323"/>
    <col min="10498" max="10498" width="6.109375" style="323" customWidth="1"/>
    <col min="10499" max="10499" width="3.88671875" style="323" customWidth="1"/>
    <col min="10500" max="10500" width="5.5546875" style="323" customWidth="1"/>
    <col min="10501" max="10501" width="44.44140625" style="323" customWidth="1"/>
    <col min="10502" max="10507" width="7.77734375" style="323" customWidth="1"/>
    <col min="10508" max="10508" width="5.77734375" style="323" customWidth="1"/>
    <col min="10509" max="10753" width="8.88671875" style="323"/>
    <col min="10754" max="10754" width="6.109375" style="323" customWidth="1"/>
    <col min="10755" max="10755" width="3.88671875" style="323" customWidth="1"/>
    <col min="10756" max="10756" width="5.5546875" style="323" customWidth="1"/>
    <col min="10757" max="10757" width="44.44140625" style="323" customWidth="1"/>
    <col min="10758" max="10763" width="7.77734375" style="323" customWidth="1"/>
    <col min="10764" max="10764" width="5.77734375" style="323" customWidth="1"/>
    <col min="10765" max="11009" width="8.88671875" style="323"/>
    <col min="11010" max="11010" width="6.109375" style="323" customWidth="1"/>
    <col min="11011" max="11011" width="3.88671875" style="323" customWidth="1"/>
    <col min="11012" max="11012" width="5.5546875" style="323" customWidth="1"/>
    <col min="11013" max="11013" width="44.44140625" style="323" customWidth="1"/>
    <col min="11014" max="11019" width="7.77734375" style="323" customWidth="1"/>
    <col min="11020" max="11020" width="5.77734375" style="323" customWidth="1"/>
    <col min="11021" max="11265" width="8.88671875" style="323"/>
    <col min="11266" max="11266" width="6.109375" style="323" customWidth="1"/>
    <col min="11267" max="11267" width="3.88671875" style="323" customWidth="1"/>
    <col min="11268" max="11268" width="5.5546875" style="323" customWidth="1"/>
    <col min="11269" max="11269" width="44.44140625" style="323" customWidth="1"/>
    <col min="11270" max="11275" width="7.77734375" style="323" customWidth="1"/>
    <col min="11276" max="11276" width="5.77734375" style="323" customWidth="1"/>
    <col min="11277" max="11521" width="8.88671875" style="323"/>
    <col min="11522" max="11522" width="6.109375" style="323" customWidth="1"/>
    <col min="11523" max="11523" width="3.88671875" style="323" customWidth="1"/>
    <col min="11524" max="11524" width="5.5546875" style="323" customWidth="1"/>
    <col min="11525" max="11525" width="44.44140625" style="323" customWidth="1"/>
    <col min="11526" max="11531" width="7.77734375" style="323" customWidth="1"/>
    <col min="11532" max="11532" width="5.77734375" style="323" customWidth="1"/>
    <col min="11533" max="11777" width="8.88671875" style="323"/>
    <col min="11778" max="11778" width="6.109375" style="323" customWidth="1"/>
    <col min="11779" max="11779" width="3.88671875" style="323" customWidth="1"/>
    <col min="11780" max="11780" width="5.5546875" style="323" customWidth="1"/>
    <col min="11781" max="11781" width="44.44140625" style="323" customWidth="1"/>
    <col min="11782" max="11787" width="7.77734375" style="323" customWidth="1"/>
    <col min="11788" max="11788" width="5.77734375" style="323" customWidth="1"/>
    <col min="11789" max="12033" width="8.88671875" style="323"/>
    <col min="12034" max="12034" width="6.109375" style="323" customWidth="1"/>
    <col min="12035" max="12035" width="3.88671875" style="323" customWidth="1"/>
    <col min="12036" max="12036" width="5.5546875" style="323" customWidth="1"/>
    <col min="12037" max="12037" width="44.44140625" style="323" customWidth="1"/>
    <col min="12038" max="12043" width="7.77734375" style="323" customWidth="1"/>
    <col min="12044" max="12044" width="5.77734375" style="323" customWidth="1"/>
    <col min="12045" max="12289" width="8.88671875" style="323"/>
    <col min="12290" max="12290" width="6.109375" style="323" customWidth="1"/>
    <col min="12291" max="12291" width="3.88671875" style="323" customWidth="1"/>
    <col min="12292" max="12292" width="5.5546875" style="323" customWidth="1"/>
    <col min="12293" max="12293" width="44.44140625" style="323" customWidth="1"/>
    <col min="12294" max="12299" width="7.77734375" style="323" customWidth="1"/>
    <col min="12300" max="12300" width="5.77734375" style="323" customWidth="1"/>
    <col min="12301" max="12545" width="8.88671875" style="323"/>
    <col min="12546" max="12546" width="6.109375" style="323" customWidth="1"/>
    <col min="12547" max="12547" width="3.88671875" style="323" customWidth="1"/>
    <col min="12548" max="12548" width="5.5546875" style="323" customWidth="1"/>
    <col min="12549" max="12549" width="44.44140625" style="323" customWidth="1"/>
    <col min="12550" max="12555" width="7.77734375" style="323" customWidth="1"/>
    <col min="12556" max="12556" width="5.77734375" style="323" customWidth="1"/>
    <col min="12557" max="12801" width="8.88671875" style="323"/>
    <col min="12802" max="12802" width="6.109375" style="323" customWidth="1"/>
    <col min="12803" max="12803" width="3.88671875" style="323" customWidth="1"/>
    <col min="12804" max="12804" width="5.5546875" style="323" customWidth="1"/>
    <col min="12805" max="12805" width="44.44140625" style="323" customWidth="1"/>
    <col min="12806" max="12811" width="7.77734375" style="323" customWidth="1"/>
    <col min="12812" max="12812" width="5.77734375" style="323" customWidth="1"/>
    <col min="12813" max="13057" width="8.88671875" style="323"/>
    <col min="13058" max="13058" width="6.109375" style="323" customWidth="1"/>
    <col min="13059" max="13059" width="3.88671875" style="323" customWidth="1"/>
    <col min="13060" max="13060" width="5.5546875" style="323" customWidth="1"/>
    <col min="13061" max="13061" width="44.44140625" style="323" customWidth="1"/>
    <col min="13062" max="13067" width="7.77734375" style="323" customWidth="1"/>
    <col min="13068" max="13068" width="5.77734375" style="323" customWidth="1"/>
    <col min="13069" max="13313" width="8.88671875" style="323"/>
    <col min="13314" max="13314" width="6.109375" style="323" customWidth="1"/>
    <col min="13315" max="13315" width="3.88671875" style="323" customWidth="1"/>
    <col min="13316" max="13316" width="5.5546875" style="323" customWidth="1"/>
    <col min="13317" max="13317" width="44.44140625" style="323" customWidth="1"/>
    <col min="13318" max="13323" width="7.77734375" style="323" customWidth="1"/>
    <col min="13324" max="13324" width="5.77734375" style="323" customWidth="1"/>
    <col min="13325" max="13569" width="8.88671875" style="323"/>
    <col min="13570" max="13570" width="6.109375" style="323" customWidth="1"/>
    <col min="13571" max="13571" width="3.88671875" style="323" customWidth="1"/>
    <col min="13572" max="13572" width="5.5546875" style="323" customWidth="1"/>
    <col min="13573" max="13573" width="44.44140625" style="323" customWidth="1"/>
    <col min="13574" max="13579" width="7.77734375" style="323" customWidth="1"/>
    <col min="13580" max="13580" width="5.77734375" style="323" customWidth="1"/>
    <col min="13581" max="13825" width="8.88671875" style="323"/>
    <col min="13826" max="13826" width="6.109375" style="323" customWidth="1"/>
    <col min="13827" max="13827" width="3.88671875" style="323" customWidth="1"/>
    <col min="13828" max="13828" width="5.5546875" style="323" customWidth="1"/>
    <col min="13829" max="13829" width="44.44140625" style="323" customWidth="1"/>
    <col min="13830" max="13835" width="7.77734375" style="323" customWidth="1"/>
    <col min="13836" max="13836" width="5.77734375" style="323" customWidth="1"/>
    <col min="13837" max="14081" width="8.88671875" style="323"/>
    <col min="14082" max="14082" width="6.109375" style="323" customWidth="1"/>
    <col min="14083" max="14083" width="3.88671875" style="323" customWidth="1"/>
    <col min="14084" max="14084" width="5.5546875" style="323" customWidth="1"/>
    <col min="14085" max="14085" width="44.44140625" style="323" customWidth="1"/>
    <col min="14086" max="14091" width="7.77734375" style="323" customWidth="1"/>
    <col min="14092" max="14092" width="5.77734375" style="323" customWidth="1"/>
    <col min="14093" max="14337" width="8.88671875" style="323"/>
    <col min="14338" max="14338" width="6.109375" style="323" customWidth="1"/>
    <col min="14339" max="14339" width="3.88671875" style="323" customWidth="1"/>
    <col min="14340" max="14340" width="5.5546875" style="323" customWidth="1"/>
    <col min="14341" max="14341" width="44.44140625" style="323" customWidth="1"/>
    <col min="14342" max="14347" width="7.77734375" style="323" customWidth="1"/>
    <col min="14348" max="14348" width="5.77734375" style="323" customWidth="1"/>
    <col min="14349" max="14593" width="8.88671875" style="323"/>
    <col min="14594" max="14594" width="6.109375" style="323" customWidth="1"/>
    <col min="14595" max="14595" width="3.88671875" style="323" customWidth="1"/>
    <col min="14596" max="14596" width="5.5546875" style="323" customWidth="1"/>
    <col min="14597" max="14597" width="44.44140625" style="323" customWidth="1"/>
    <col min="14598" max="14603" width="7.77734375" style="323" customWidth="1"/>
    <col min="14604" max="14604" width="5.77734375" style="323" customWidth="1"/>
    <col min="14605" max="14849" width="8.88671875" style="323"/>
    <col min="14850" max="14850" width="6.109375" style="323" customWidth="1"/>
    <col min="14851" max="14851" width="3.88671875" style="323" customWidth="1"/>
    <col min="14852" max="14852" width="5.5546875" style="323" customWidth="1"/>
    <col min="14853" max="14853" width="44.44140625" style="323" customWidth="1"/>
    <col min="14854" max="14859" width="7.77734375" style="323" customWidth="1"/>
    <col min="14860" max="14860" width="5.77734375" style="323" customWidth="1"/>
    <col min="14861" max="15105" width="8.88671875" style="323"/>
    <col min="15106" max="15106" width="6.109375" style="323" customWidth="1"/>
    <col min="15107" max="15107" width="3.88671875" style="323" customWidth="1"/>
    <col min="15108" max="15108" width="5.5546875" style="323" customWidth="1"/>
    <col min="15109" max="15109" width="44.44140625" style="323" customWidth="1"/>
    <col min="15110" max="15115" width="7.77734375" style="323" customWidth="1"/>
    <col min="15116" max="15116" width="5.77734375" style="323" customWidth="1"/>
    <col min="15117" max="15361" width="8.88671875" style="323"/>
    <col min="15362" max="15362" width="6.109375" style="323" customWidth="1"/>
    <col min="15363" max="15363" width="3.88671875" style="323" customWidth="1"/>
    <col min="15364" max="15364" width="5.5546875" style="323" customWidth="1"/>
    <col min="15365" max="15365" width="44.44140625" style="323" customWidth="1"/>
    <col min="15366" max="15371" width="7.77734375" style="323" customWidth="1"/>
    <col min="15372" max="15372" width="5.77734375" style="323" customWidth="1"/>
    <col min="15373" max="15617" width="8.88671875" style="323"/>
    <col min="15618" max="15618" width="6.109375" style="323" customWidth="1"/>
    <col min="15619" max="15619" width="3.88671875" style="323" customWidth="1"/>
    <col min="15620" max="15620" width="5.5546875" style="323" customWidth="1"/>
    <col min="15621" max="15621" width="44.44140625" style="323" customWidth="1"/>
    <col min="15622" max="15627" width="7.77734375" style="323" customWidth="1"/>
    <col min="15628" max="15628" width="5.77734375" style="323" customWidth="1"/>
    <col min="15629" max="15873" width="8.88671875" style="323"/>
    <col min="15874" max="15874" width="6.109375" style="323" customWidth="1"/>
    <col min="15875" max="15875" width="3.88671875" style="323" customWidth="1"/>
    <col min="15876" max="15876" width="5.5546875" style="323" customWidth="1"/>
    <col min="15877" max="15877" width="44.44140625" style="323" customWidth="1"/>
    <col min="15878" max="15883" width="7.77734375" style="323" customWidth="1"/>
    <col min="15884" max="15884" width="5.77734375" style="323" customWidth="1"/>
    <col min="15885" max="16129" width="8.88671875" style="323"/>
    <col min="16130" max="16130" width="6.109375" style="323" customWidth="1"/>
    <col min="16131" max="16131" width="3.88671875" style="323" customWidth="1"/>
    <col min="16132" max="16132" width="5.5546875" style="323" customWidth="1"/>
    <col min="16133" max="16133" width="44.44140625" style="323" customWidth="1"/>
    <col min="16134" max="16139" width="7.77734375" style="323" customWidth="1"/>
    <col min="16140" max="16140" width="5.77734375" style="323" customWidth="1"/>
    <col min="16141" max="16384" width="8.88671875" style="323"/>
  </cols>
  <sheetData>
    <row r="1" spans="1:14" s="343" customFormat="1" ht="30" customHeight="1" thickBot="1">
      <c r="A1" s="349" t="s">
        <v>612</v>
      </c>
      <c r="B1" s="349"/>
      <c r="C1" s="349"/>
      <c r="D1" s="777"/>
      <c r="E1" s="349"/>
      <c r="F1" s="349"/>
      <c r="G1" s="349"/>
      <c r="H1" s="703"/>
      <c r="I1" s="778"/>
      <c r="J1" s="778"/>
      <c r="K1" s="778"/>
      <c r="L1" s="779"/>
      <c r="M1" s="342"/>
      <c r="N1" s="342"/>
    </row>
    <row r="2" spans="1:14" s="780" customFormat="1" ht="35.1" customHeight="1">
      <c r="A2" s="754" t="s">
        <v>613</v>
      </c>
      <c r="B2" s="755" t="s">
        <v>490</v>
      </c>
      <c r="C2" s="755" t="s">
        <v>614</v>
      </c>
      <c r="D2" s="755" t="s">
        <v>615</v>
      </c>
      <c r="E2" s="756" t="s">
        <v>616</v>
      </c>
      <c r="F2" s="757" t="s">
        <v>396</v>
      </c>
      <c r="G2" s="758" t="s">
        <v>617</v>
      </c>
      <c r="H2" s="710" t="s">
        <v>618</v>
      </c>
      <c r="I2" s="758" t="s">
        <v>619</v>
      </c>
      <c r="J2" s="758" t="s">
        <v>620</v>
      </c>
      <c r="K2" s="759" t="s">
        <v>621</v>
      </c>
      <c r="L2" s="760" t="s">
        <v>499</v>
      </c>
    </row>
    <row r="3" spans="1:14" s="784" customFormat="1" ht="35.1" customHeight="1">
      <c r="A3" s="781" t="s">
        <v>622</v>
      </c>
      <c r="B3" s="715">
        <v>1</v>
      </c>
      <c r="C3" s="715">
        <v>703</v>
      </c>
      <c r="D3" s="715" t="s">
        <v>623</v>
      </c>
      <c r="E3" s="762">
        <v>1</v>
      </c>
      <c r="F3" s="763">
        <v>1550</v>
      </c>
      <c r="G3" s="782">
        <v>2</v>
      </c>
      <c r="H3" s="764">
        <v>1</v>
      </c>
      <c r="I3" s="766">
        <f t="shared" ref="I3:I8" si="0">IF(F3&gt;=2000,1,IF(F3&gt;=1800,0.9,IF(F3&gt;=1600,0.8,IF(F3&gt;=1400,0.7,IF(F3&gt;=1200,0.6,0)))))</f>
        <v>0.7</v>
      </c>
      <c r="J3" s="766">
        <f t="shared" ref="J3:J8" si="1">IF(G3&gt;=5,1,IF(G3&gt;=4,0.9,IF(G3&gt;=3,0.8,IF(G3&gt;=2,0.7,IF(G3&gt;=1,0.6,0)))))</f>
        <v>0.7</v>
      </c>
      <c r="K3" s="767">
        <f>배점기준!$F$109*MAX(I3,J3)*E3*H3</f>
        <v>0.7</v>
      </c>
      <c r="L3" s="783"/>
    </row>
    <row r="4" spans="1:14" s="784" customFormat="1" ht="35.1" customHeight="1">
      <c r="A4" s="781" t="s">
        <v>622</v>
      </c>
      <c r="B4" s="715">
        <v>2</v>
      </c>
      <c r="C4" s="715">
        <v>701</v>
      </c>
      <c r="D4" s="715" t="s">
        <v>623</v>
      </c>
      <c r="E4" s="762">
        <v>1</v>
      </c>
      <c r="F4" s="763">
        <v>1660</v>
      </c>
      <c r="G4" s="782">
        <v>3</v>
      </c>
      <c r="H4" s="764">
        <v>0.6</v>
      </c>
      <c r="I4" s="766">
        <f t="shared" si="0"/>
        <v>0.8</v>
      </c>
      <c r="J4" s="766">
        <f t="shared" si="1"/>
        <v>0.8</v>
      </c>
      <c r="K4" s="767">
        <f>배점기준!$F$109*MAX(I4,J4)*E4*H4</f>
        <v>0.48</v>
      </c>
      <c r="L4" s="783"/>
    </row>
    <row r="5" spans="1:14" s="784" customFormat="1" ht="35.1" customHeight="1">
      <c r="A5" s="781" t="s">
        <v>622</v>
      </c>
      <c r="B5" s="715">
        <v>3</v>
      </c>
      <c r="C5" s="715">
        <v>800</v>
      </c>
      <c r="D5" s="715" t="s">
        <v>623</v>
      </c>
      <c r="E5" s="762">
        <v>1</v>
      </c>
      <c r="F5" s="763">
        <v>2001</v>
      </c>
      <c r="G5" s="782">
        <v>4</v>
      </c>
      <c r="H5" s="764">
        <v>0.6</v>
      </c>
      <c r="I5" s="766">
        <f t="shared" si="0"/>
        <v>1</v>
      </c>
      <c r="J5" s="766">
        <f t="shared" si="1"/>
        <v>0.9</v>
      </c>
      <c r="K5" s="767">
        <f>배점기준!$F$109*MAX(I5,J5)*E5*H5</f>
        <v>0.6</v>
      </c>
      <c r="L5" s="783"/>
    </row>
    <row r="6" spans="1:14" s="784" customFormat="1" ht="35.1" customHeight="1">
      <c r="A6" s="781" t="s">
        <v>622</v>
      </c>
      <c r="B6" s="715">
        <v>4</v>
      </c>
      <c r="C6" s="715">
        <v>258</v>
      </c>
      <c r="D6" s="715" t="s">
        <v>623</v>
      </c>
      <c r="E6" s="762">
        <v>1</v>
      </c>
      <c r="F6" s="763">
        <v>3500</v>
      </c>
      <c r="G6" s="782">
        <v>1</v>
      </c>
      <c r="H6" s="764">
        <v>1</v>
      </c>
      <c r="I6" s="766">
        <f t="shared" si="0"/>
        <v>1</v>
      </c>
      <c r="J6" s="766">
        <f t="shared" si="1"/>
        <v>0.6</v>
      </c>
      <c r="K6" s="767">
        <f>배점기준!$F$109*MAX(I6,J6)*E6*H6</f>
        <v>1</v>
      </c>
      <c r="L6" s="783"/>
    </row>
    <row r="7" spans="1:14" s="784" customFormat="1" ht="35.1" customHeight="1">
      <c r="A7" s="781" t="s">
        <v>622</v>
      </c>
      <c r="B7" s="715">
        <v>5</v>
      </c>
      <c r="C7" s="715">
        <v>704</v>
      </c>
      <c r="D7" s="715" t="s">
        <v>623</v>
      </c>
      <c r="E7" s="762">
        <v>1</v>
      </c>
      <c r="F7" s="763">
        <v>1050</v>
      </c>
      <c r="G7" s="782">
        <v>1</v>
      </c>
      <c r="H7" s="764">
        <v>1</v>
      </c>
      <c r="I7" s="766">
        <f t="shared" si="0"/>
        <v>0</v>
      </c>
      <c r="J7" s="766">
        <f t="shared" si="1"/>
        <v>0.6</v>
      </c>
      <c r="K7" s="767">
        <f>배점기준!$F$109*MAX(I7,J7)*E7*H7</f>
        <v>0.6</v>
      </c>
      <c r="L7" s="783"/>
    </row>
    <row r="8" spans="1:14" s="784" customFormat="1" ht="35.1" customHeight="1">
      <c r="A8" s="781" t="s">
        <v>622</v>
      </c>
      <c r="B8" s="715">
        <v>6</v>
      </c>
      <c r="C8" s="715">
        <v>700</v>
      </c>
      <c r="D8" s="715" t="s">
        <v>623</v>
      </c>
      <c r="E8" s="762">
        <v>1</v>
      </c>
      <c r="F8" s="763">
        <v>1300</v>
      </c>
      <c r="G8" s="782">
        <v>1</v>
      </c>
      <c r="H8" s="764">
        <v>1</v>
      </c>
      <c r="I8" s="766">
        <f t="shared" si="0"/>
        <v>0.6</v>
      </c>
      <c r="J8" s="766">
        <f t="shared" si="1"/>
        <v>0.6</v>
      </c>
      <c r="K8" s="767">
        <f>배점기준!$F$109*MAX(I8,J8)*E8*H8</f>
        <v>0.6</v>
      </c>
      <c r="L8" s="783"/>
    </row>
    <row r="9" spans="1:14" s="786" customFormat="1" ht="35.1" customHeight="1">
      <c r="A9" s="1251" t="s">
        <v>460</v>
      </c>
      <c r="B9" s="1252"/>
      <c r="C9" s="1252"/>
      <c r="D9" s="1252"/>
      <c r="E9" s="1252"/>
      <c r="F9" s="1252"/>
      <c r="G9" s="1252"/>
      <c r="H9" s="1252"/>
      <c r="I9" s="1252"/>
      <c r="J9" s="1253"/>
      <c r="K9" s="770">
        <f>SUM(K3:K8)</f>
        <v>3.98</v>
      </c>
      <c r="L9" s="785"/>
    </row>
    <row r="10" spans="1:14" s="787" customFormat="1" ht="35.1" customHeight="1">
      <c r="A10" s="761" t="s">
        <v>624</v>
      </c>
      <c r="B10" s="715">
        <v>7</v>
      </c>
      <c r="C10" s="715">
        <v>652</v>
      </c>
      <c r="D10" s="715" t="s">
        <v>625</v>
      </c>
      <c r="E10" s="762">
        <v>1</v>
      </c>
      <c r="F10" s="763">
        <v>110</v>
      </c>
      <c r="G10" s="763">
        <v>1</v>
      </c>
      <c r="H10" s="773">
        <v>1</v>
      </c>
      <c r="I10" s="766">
        <f>IF(F10&gt;=2000,1,IF(F10&gt;=1800,0.9,IF(F10&gt;=1600,0.8,IF(F10&gt;=1400,0.7,IF(F10&gt;=1200,0.6,0)))))</f>
        <v>0</v>
      </c>
      <c r="J10" s="766">
        <f>IF(G10&gt;=5,1,IF(G10&gt;=4,0.9,IF(G10&gt;=3,0.8,IF(G10&gt;=2,0.7,IF(G10&gt;=1,0.6,0)))))</f>
        <v>0.6</v>
      </c>
      <c r="K10" s="767">
        <f>배점기준!$G$109*MAX(I10,J10)*E10*H10</f>
        <v>0.36</v>
      </c>
      <c r="L10" s="783"/>
    </row>
    <row r="11" spans="1:14" s="787" customFormat="1" ht="35.1" customHeight="1">
      <c r="A11" s="761" t="s">
        <v>624</v>
      </c>
      <c r="B11" s="715">
        <v>8</v>
      </c>
      <c r="C11" s="715">
        <v>682</v>
      </c>
      <c r="D11" s="715" t="s">
        <v>625</v>
      </c>
      <c r="E11" s="762">
        <v>0.6</v>
      </c>
      <c r="F11" s="763">
        <v>1450</v>
      </c>
      <c r="G11" s="763">
        <v>1</v>
      </c>
      <c r="H11" s="773">
        <v>0.6</v>
      </c>
      <c r="I11" s="766">
        <f>IF(F11&gt;=2000,1,IF(F11&gt;=1800,0.9,IF(F11&gt;=1600,0.8,IF(F11&gt;=1400,0.7,IF(F11&gt;=1200,0.6,0)))))</f>
        <v>0.7</v>
      </c>
      <c r="J11" s="766">
        <f>IF(G11&gt;=5,1,IF(G11&gt;=4,0.9,IF(G11&gt;=3,0.8,IF(G11&gt;=2,0.7,IF(G11&gt;=1,0.6,0)))))</f>
        <v>0.6</v>
      </c>
      <c r="K11" s="767">
        <f>배점기준!$G$109*MAX(I11,J11)*E11*H11</f>
        <v>0.1512</v>
      </c>
      <c r="L11" s="783"/>
    </row>
    <row r="12" spans="1:14" s="786" customFormat="1" ht="35.1" customHeight="1">
      <c r="A12" s="1254" t="s">
        <v>468</v>
      </c>
      <c r="B12" s="1255"/>
      <c r="C12" s="1255"/>
      <c r="D12" s="1255"/>
      <c r="E12" s="1255"/>
      <c r="F12" s="1255"/>
      <c r="G12" s="1255"/>
      <c r="H12" s="1255"/>
      <c r="I12" s="1255"/>
      <c r="J12" s="1255"/>
      <c r="K12" s="770">
        <f>SUM(K10:K11)</f>
        <v>0.51119999999999999</v>
      </c>
      <c r="L12" s="785"/>
    </row>
    <row r="13" spans="1:14" s="784" customFormat="1" ht="35.1" customHeight="1">
      <c r="A13" s="714" t="s">
        <v>626</v>
      </c>
      <c r="B13" s="715">
        <v>9</v>
      </c>
      <c r="C13" s="715">
        <v>254</v>
      </c>
      <c r="D13" s="715" t="s">
        <v>627</v>
      </c>
      <c r="E13" s="762">
        <v>1</v>
      </c>
      <c r="F13" s="763">
        <v>1200</v>
      </c>
      <c r="G13" s="763">
        <v>2</v>
      </c>
      <c r="H13" s="763">
        <v>1</v>
      </c>
      <c r="I13" s="766">
        <f>IF(F13&gt;=2000,1,IF(F13&gt;=1800,0.9,IF(F13&gt;=1600,0.8,IF(F13&gt;=1400,0.7,IF(F13&gt;=1200,0.6,0)))))</f>
        <v>0.6</v>
      </c>
      <c r="J13" s="766">
        <f>IF(G13&gt;=5,1,IF(G13&gt;=4,0.9,IF(G13&gt;=3,0.8,IF(G13&gt;=2,0.7,IF(G13&gt;=1,0.6,0)))))</f>
        <v>0.7</v>
      </c>
      <c r="K13" s="767">
        <f>배점기준!$H$109*MAX(I13,J13)*E13*H13</f>
        <v>0.21</v>
      </c>
      <c r="L13" s="783"/>
    </row>
    <row r="14" spans="1:14" s="787" customFormat="1" ht="35.1" customHeight="1">
      <c r="A14" s="714" t="s">
        <v>626</v>
      </c>
      <c r="B14" s="715">
        <v>10</v>
      </c>
      <c r="C14" s="715">
        <v>268</v>
      </c>
      <c r="D14" s="715" t="s">
        <v>627</v>
      </c>
      <c r="E14" s="762">
        <v>0.8</v>
      </c>
      <c r="F14" s="763">
        <v>1450</v>
      </c>
      <c r="G14" s="763">
        <v>1</v>
      </c>
      <c r="H14" s="773">
        <v>1</v>
      </c>
      <c r="I14" s="766">
        <f>IF(F14&gt;=2000,1,IF(F14&gt;=1800,0.9,IF(F14&gt;=1600,0.8,IF(F14&gt;=1400,0.7,IF(F14&gt;=1200,0.6,0)))))</f>
        <v>0.7</v>
      </c>
      <c r="J14" s="766">
        <f>IF(G14&gt;=5,1,IF(G14&gt;=4,0.9,IF(G14&gt;=3,0.8,IF(G14&gt;=2,0.7,IF(G14&gt;=1,0.6,0)))))</f>
        <v>0.6</v>
      </c>
      <c r="K14" s="767">
        <f>배점기준!$H$109*MAX(I14,J14)*E14*H14</f>
        <v>0.16800000000000001</v>
      </c>
      <c r="L14" s="783"/>
    </row>
    <row r="15" spans="1:14" s="786" customFormat="1" ht="35.1" customHeight="1" thickBot="1">
      <c r="A15" s="1256" t="s">
        <v>467</v>
      </c>
      <c r="B15" s="1257"/>
      <c r="C15" s="1257"/>
      <c r="D15" s="1257"/>
      <c r="E15" s="1257"/>
      <c r="F15" s="1257"/>
      <c r="G15" s="1257"/>
      <c r="H15" s="1257"/>
      <c r="I15" s="1257"/>
      <c r="J15" s="1257"/>
      <c r="K15" s="774">
        <f>SUM(K13:K14)</f>
        <v>0.378</v>
      </c>
      <c r="L15" s="788"/>
    </row>
    <row r="16" spans="1:14" s="784" customFormat="1" ht="35.1" customHeight="1">
      <c r="A16" s="714" t="s">
        <v>455</v>
      </c>
      <c r="B16" s="715">
        <v>11</v>
      </c>
      <c r="C16" s="715">
        <v>254</v>
      </c>
      <c r="D16" s="715" t="s">
        <v>465</v>
      </c>
      <c r="E16" s="762">
        <v>1</v>
      </c>
      <c r="F16" s="763">
        <v>1200</v>
      </c>
      <c r="G16" s="763">
        <v>2</v>
      </c>
      <c r="H16" s="763">
        <v>1</v>
      </c>
      <c r="I16" s="766">
        <f>IF(F16&gt;=2000,1,IF(F16&gt;=1800,0.9,IF(F16&gt;=1600,0.8,IF(F16&gt;=1400,0.7,IF(F16&gt;=1200,0.6,0)))))</f>
        <v>0.6</v>
      </c>
      <c r="J16" s="766">
        <f>IF(G16&gt;=5,1,IF(G16&gt;=4,0.9,IF(G16&gt;=3,0.8,IF(G16&gt;=2,0.7,IF(G16&gt;=1,0.6,0)))))</f>
        <v>0.7</v>
      </c>
      <c r="K16" s="767">
        <f>배점기준!$F$109*MAX(I16,J16)*E16*H16</f>
        <v>0.7</v>
      </c>
      <c r="L16" s="783"/>
    </row>
    <row r="17" spans="1:12" s="787" customFormat="1" ht="35.1" customHeight="1">
      <c r="A17" s="714" t="s">
        <v>455</v>
      </c>
      <c r="B17" s="715">
        <v>12</v>
      </c>
      <c r="C17" s="715">
        <v>268</v>
      </c>
      <c r="D17" s="715" t="s">
        <v>465</v>
      </c>
      <c r="E17" s="762">
        <v>0.8</v>
      </c>
      <c r="F17" s="763">
        <v>1450</v>
      </c>
      <c r="G17" s="763">
        <v>1</v>
      </c>
      <c r="H17" s="773">
        <v>0.6</v>
      </c>
      <c r="I17" s="766">
        <f>IF(F17&gt;=2000,1,IF(F17&gt;=1800,0.9,IF(F17&gt;=1600,0.8,IF(F17&gt;=1400,0.7,IF(F17&gt;=1200,0.6,0)))))</f>
        <v>0.7</v>
      </c>
      <c r="J17" s="766">
        <f>IF(G17&gt;=5,1,IF(G17&gt;=4,0.9,IF(G17&gt;=3,0.8,IF(G17&gt;=2,0.7,IF(G17&gt;=1,0.6,0)))))</f>
        <v>0.6</v>
      </c>
      <c r="K17" s="767">
        <f>배점기준!$F$109*MAX(I17,J17)*E17*H17</f>
        <v>0.33599999999999997</v>
      </c>
      <c r="L17" s="783"/>
    </row>
    <row r="18" spans="1:12" s="786" customFormat="1" ht="35.1" customHeight="1" thickBot="1">
      <c r="A18" s="1256" t="s">
        <v>458</v>
      </c>
      <c r="B18" s="1257"/>
      <c r="C18" s="1257"/>
      <c r="D18" s="1257"/>
      <c r="E18" s="1257"/>
      <c r="F18" s="1257"/>
      <c r="G18" s="1257"/>
      <c r="H18" s="1257"/>
      <c r="I18" s="1257"/>
      <c r="J18" s="1257"/>
      <c r="K18" s="774">
        <f>SUM(K16:K17)</f>
        <v>1.036</v>
      </c>
      <c r="L18" s="788"/>
    </row>
    <row r="19" spans="1:12" ht="15" customHeight="1">
      <c r="A19" s="736"/>
      <c r="B19" s="736"/>
      <c r="C19" s="776"/>
      <c r="K19" s="737"/>
    </row>
    <row r="20" spans="1:12" ht="15" customHeight="1">
      <c r="A20" s="736"/>
      <c r="B20" s="736"/>
      <c r="C20" s="776"/>
      <c r="K20" s="737"/>
    </row>
    <row r="21" spans="1:12" ht="15" customHeight="1">
      <c r="A21" s="736"/>
      <c r="B21" s="736"/>
      <c r="C21" s="776"/>
      <c r="K21" s="737"/>
    </row>
    <row r="22" spans="1:12" ht="15" customHeight="1">
      <c r="E22" s="320"/>
      <c r="F22" s="320"/>
      <c r="G22" s="320"/>
      <c r="I22" s="739"/>
      <c r="J22" s="739"/>
      <c r="K22" s="335"/>
    </row>
    <row r="23" spans="1:12" ht="15" customHeight="1">
      <c r="E23" s="320"/>
      <c r="F23" s="320"/>
      <c r="G23" s="320"/>
      <c r="H23" s="320"/>
      <c r="I23" s="739"/>
      <c r="J23" s="739"/>
      <c r="K23" s="335"/>
    </row>
    <row r="24" spans="1:12" ht="15" customHeight="1">
      <c r="E24" s="320"/>
      <c r="F24" s="789"/>
      <c r="G24" s="320"/>
      <c r="H24" s="320"/>
      <c r="I24" s="739"/>
      <c r="J24" s="739"/>
      <c r="K24" s="335"/>
    </row>
    <row r="25" spans="1:12" ht="15" customHeight="1">
      <c r="E25" s="320"/>
      <c r="F25" s="320"/>
      <c r="G25" s="320"/>
      <c r="H25" s="320"/>
      <c r="I25" s="739"/>
      <c r="J25" s="739"/>
      <c r="K25" s="335"/>
    </row>
    <row r="26" spans="1:12" ht="15" customHeight="1">
      <c r="E26" s="320"/>
      <c r="F26" s="320"/>
      <c r="G26" s="320"/>
      <c r="H26" s="320"/>
      <c r="I26" s="739"/>
      <c r="J26" s="739"/>
      <c r="K26" s="335"/>
    </row>
    <row r="27" spans="1:12" ht="12" customHeight="1">
      <c r="E27" s="320"/>
      <c r="F27" s="320"/>
      <c r="G27" s="320"/>
      <c r="H27" s="320"/>
      <c r="I27" s="739"/>
      <c r="J27" s="739"/>
      <c r="K27" s="335"/>
    </row>
    <row r="28" spans="1:12" ht="12" customHeight="1">
      <c r="E28" s="320"/>
      <c r="F28" s="320"/>
      <c r="G28" s="320"/>
      <c r="H28" s="320"/>
      <c r="I28" s="739"/>
      <c r="J28" s="739"/>
      <c r="K28" s="335"/>
    </row>
    <row r="29" spans="1:12" ht="12" customHeight="1">
      <c r="E29" s="320"/>
      <c r="F29" s="320"/>
      <c r="G29" s="320"/>
      <c r="H29" s="320"/>
      <c r="I29" s="739"/>
      <c r="J29" s="739"/>
      <c r="K29" s="335"/>
    </row>
    <row r="30" spans="1:12" ht="12" customHeight="1">
      <c r="E30" s="320"/>
      <c r="F30" s="320"/>
      <c r="G30" s="320"/>
      <c r="H30" s="320"/>
      <c r="I30" s="739"/>
      <c r="J30" s="739"/>
      <c r="K30" s="335"/>
    </row>
    <row r="31" spans="1:12" ht="12" customHeight="1">
      <c r="E31" s="320"/>
      <c r="F31" s="320"/>
      <c r="G31" s="320"/>
      <c r="H31" s="320"/>
      <c r="I31" s="739"/>
      <c r="J31" s="739"/>
      <c r="K31" s="335"/>
    </row>
    <row r="32" spans="1:12" ht="12" customHeight="1">
      <c r="E32" s="320"/>
      <c r="F32" s="320"/>
      <c r="G32" s="320"/>
      <c r="H32" s="320"/>
      <c r="I32" s="739"/>
      <c r="J32" s="739"/>
      <c r="K32" s="335"/>
    </row>
    <row r="33" spans="5:11" ht="12" customHeight="1">
      <c r="E33" s="320"/>
      <c r="F33" s="320"/>
      <c r="G33" s="320"/>
      <c r="H33" s="320"/>
      <c r="I33" s="739"/>
      <c r="J33" s="739"/>
      <c r="K33" s="335"/>
    </row>
    <row r="34" spans="5:11" ht="12" customHeight="1">
      <c r="E34" s="320"/>
      <c r="F34" s="320"/>
      <c r="G34" s="320"/>
      <c r="H34" s="320"/>
      <c r="I34" s="739"/>
      <c r="J34" s="739"/>
      <c r="K34" s="335"/>
    </row>
    <row r="35" spans="5:11" ht="12" customHeight="1">
      <c r="E35" s="320"/>
      <c r="F35" s="320"/>
      <c r="G35" s="320"/>
      <c r="H35" s="320"/>
      <c r="I35" s="739"/>
      <c r="J35" s="739"/>
      <c r="K35" s="335"/>
    </row>
    <row r="36" spans="5:11" ht="12" customHeight="1">
      <c r="E36" s="320"/>
      <c r="F36" s="320"/>
      <c r="G36" s="320"/>
      <c r="H36" s="320"/>
      <c r="I36" s="739"/>
      <c r="J36" s="739"/>
      <c r="K36" s="335"/>
    </row>
    <row r="37" spans="5:11" ht="12" customHeight="1">
      <c r="E37" s="320"/>
      <c r="F37" s="320"/>
      <c r="G37" s="320"/>
      <c r="H37" s="320"/>
      <c r="I37" s="739"/>
      <c r="J37" s="739"/>
      <c r="K37" s="335"/>
    </row>
    <row r="38" spans="5:11" ht="12" customHeight="1">
      <c r="E38" s="320"/>
      <c r="F38" s="320"/>
      <c r="G38" s="320"/>
      <c r="H38" s="320"/>
      <c r="I38" s="739"/>
      <c r="J38" s="739"/>
      <c r="K38" s="335"/>
    </row>
    <row r="39" spans="5:11" ht="12" customHeight="1">
      <c r="E39" s="320"/>
      <c r="F39" s="320"/>
      <c r="G39" s="320"/>
      <c r="H39" s="320"/>
      <c r="I39" s="739"/>
      <c r="J39" s="739"/>
      <c r="K39" s="335"/>
    </row>
    <row r="40" spans="5:11" ht="12" customHeight="1">
      <c r="E40" s="320"/>
      <c r="F40" s="320"/>
      <c r="G40" s="320"/>
      <c r="H40" s="320"/>
      <c r="I40" s="739"/>
      <c r="J40" s="739"/>
      <c r="K40" s="335"/>
    </row>
    <row r="41" spans="5:11" ht="12" customHeight="1">
      <c r="E41" s="320"/>
      <c r="F41" s="320"/>
      <c r="G41" s="320"/>
      <c r="H41" s="320"/>
      <c r="I41" s="739"/>
      <c r="J41" s="739"/>
      <c r="K41" s="335"/>
    </row>
    <row r="42" spans="5:11" ht="12" customHeight="1">
      <c r="E42" s="320"/>
      <c r="F42" s="320"/>
      <c r="G42" s="320"/>
      <c r="H42" s="320"/>
      <c r="I42" s="739"/>
      <c r="J42" s="739"/>
      <c r="K42" s="335"/>
    </row>
    <row r="43" spans="5:11" ht="12" customHeight="1">
      <c r="E43" s="320"/>
      <c r="F43" s="320"/>
      <c r="G43" s="320"/>
      <c r="H43" s="320"/>
      <c r="I43" s="739"/>
      <c r="J43" s="739"/>
      <c r="K43" s="335"/>
    </row>
    <row r="44" spans="5:11" ht="12" customHeight="1">
      <c r="E44" s="320"/>
      <c r="F44" s="320"/>
      <c r="G44" s="320"/>
      <c r="H44" s="320"/>
      <c r="I44" s="739"/>
      <c r="J44" s="739"/>
      <c r="K44" s="335"/>
    </row>
    <row r="45" spans="5:11" ht="12" customHeight="1">
      <c r="E45" s="320"/>
      <c r="F45" s="320"/>
      <c r="G45" s="320"/>
      <c r="H45" s="320"/>
      <c r="I45" s="739"/>
      <c r="J45" s="739"/>
      <c r="K45" s="335"/>
    </row>
    <row r="46" spans="5:11" ht="12" customHeight="1">
      <c r="E46" s="320"/>
      <c r="F46" s="320"/>
      <c r="G46" s="320"/>
      <c r="H46" s="320"/>
      <c r="I46" s="739"/>
      <c r="J46" s="739"/>
      <c r="K46" s="335"/>
    </row>
    <row r="47" spans="5:11" ht="12" customHeight="1">
      <c r="E47" s="320"/>
      <c r="F47" s="320"/>
      <c r="G47" s="320"/>
      <c r="H47" s="320"/>
      <c r="I47" s="739"/>
      <c r="J47" s="739"/>
      <c r="K47" s="335"/>
    </row>
    <row r="48" spans="5:11" ht="12" customHeight="1">
      <c r="E48" s="320"/>
      <c r="F48" s="320"/>
      <c r="G48" s="320"/>
      <c r="H48" s="320"/>
      <c r="I48" s="739"/>
      <c r="J48" s="739"/>
      <c r="K48" s="335"/>
    </row>
    <row r="49" spans="5:11" ht="12" customHeight="1">
      <c r="E49" s="320"/>
      <c r="F49" s="320"/>
      <c r="G49" s="320"/>
      <c r="H49" s="320"/>
      <c r="I49" s="739"/>
      <c r="J49" s="739"/>
      <c r="K49" s="335"/>
    </row>
    <row r="50" spans="5:11" ht="12" customHeight="1">
      <c r="E50" s="320"/>
      <c r="F50" s="320"/>
      <c r="G50" s="320"/>
      <c r="H50" s="320"/>
      <c r="I50" s="739"/>
      <c r="J50" s="739"/>
      <c r="K50" s="335"/>
    </row>
    <row r="51" spans="5:11" ht="12" customHeight="1">
      <c r="E51" s="320"/>
      <c r="F51" s="320"/>
      <c r="G51" s="320"/>
      <c r="H51" s="320"/>
      <c r="I51" s="739"/>
      <c r="J51" s="739"/>
      <c r="K51" s="335"/>
    </row>
    <row r="52" spans="5:11" ht="12" customHeight="1">
      <c r="E52" s="320"/>
      <c r="F52" s="320"/>
      <c r="G52" s="320"/>
      <c r="H52" s="320"/>
      <c r="I52" s="739"/>
      <c r="J52" s="739"/>
      <c r="K52" s="335"/>
    </row>
    <row r="53" spans="5:11" ht="12" customHeight="1">
      <c r="E53" s="320"/>
      <c r="F53" s="320"/>
      <c r="G53" s="320"/>
      <c r="H53" s="320"/>
      <c r="I53" s="739"/>
      <c r="J53" s="739"/>
      <c r="K53" s="335"/>
    </row>
    <row r="54" spans="5:11" ht="12" customHeight="1">
      <c r="E54" s="320"/>
      <c r="F54" s="320"/>
      <c r="G54" s="320"/>
      <c r="H54" s="320"/>
      <c r="I54" s="739"/>
      <c r="J54" s="739"/>
      <c r="K54" s="335"/>
    </row>
    <row r="55" spans="5:11" ht="12" customHeight="1">
      <c r="E55" s="320"/>
      <c r="F55" s="320"/>
      <c r="G55" s="320"/>
      <c r="H55" s="320"/>
      <c r="I55" s="739"/>
      <c r="J55" s="739"/>
      <c r="K55" s="335"/>
    </row>
    <row r="56" spans="5:11" ht="12" customHeight="1">
      <c r="E56" s="320"/>
      <c r="F56" s="320"/>
      <c r="G56" s="320"/>
      <c r="H56" s="320"/>
      <c r="I56" s="739"/>
      <c r="J56" s="739"/>
      <c r="K56" s="335"/>
    </row>
    <row r="57" spans="5:11" ht="12" customHeight="1">
      <c r="E57" s="320"/>
      <c r="F57" s="320"/>
      <c r="G57" s="320"/>
      <c r="H57" s="320"/>
      <c r="I57" s="739"/>
      <c r="J57" s="739"/>
      <c r="K57" s="335"/>
    </row>
    <row r="58" spans="5:11" ht="12" customHeight="1">
      <c r="E58" s="320"/>
      <c r="F58" s="320"/>
      <c r="G58" s="320"/>
      <c r="H58" s="320"/>
      <c r="I58" s="739"/>
      <c r="J58" s="739"/>
      <c r="K58" s="335"/>
    </row>
    <row r="59" spans="5:11" ht="12" customHeight="1">
      <c r="E59" s="320"/>
      <c r="F59" s="320"/>
      <c r="G59" s="320"/>
      <c r="H59" s="320"/>
      <c r="I59" s="739"/>
      <c r="J59" s="739"/>
      <c r="K59" s="335"/>
    </row>
    <row r="60" spans="5:11" ht="12" customHeight="1">
      <c r="E60" s="320"/>
      <c r="F60" s="320"/>
      <c r="G60" s="320"/>
      <c r="H60" s="320"/>
      <c r="I60" s="739"/>
      <c r="J60" s="739"/>
      <c r="K60" s="335"/>
    </row>
    <row r="61" spans="5:11" ht="12" customHeight="1">
      <c r="E61" s="320"/>
      <c r="F61" s="320"/>
      <c r="G61" s="320"/>
      <c r="H61" s="320"/>
      <c r="I61" s="739"/>
      <c r="J61" s="739"/>
      <c r="K61" s="335"/>
    </row>
    <row r="62" spans="5:11" ht="12" customHeight="1">
      <c r="E62" s="320"/>
      <c r="F62" s="320"/>
      <c r="G62" s="320"/>
      <c r="H62" s="320"/>
      <c r="I62" s="739"/>
      <c r="J62" s="739"/>
      <c r="K62" s="335"/>
    </row>
    <row r="63" spans="5:11" ht="12" customHeight="1">
      <c r="E63" s="320"/>
      <c r="F63" s="320"/>
      <c r="G63" s="320"/>
      <c r="H63" s="320"/>
      <c r="I63" s="739"/>
      <c r="J63" s="739"/>
      <c r="K63" s="335"/>
    </row>
    <row r="64" spans="5:11" ht="12" customHeight="1">
      <c r="E64" s="320"/>
      <c r="F64" s="320"/>
      <c r="G64" s="320"/>
      <c r="H64" s="320"/>
      <c r="I64" s="739"/>
      <c r="J64" s="739"/>
      <c r="K64" s="335"/>
    </row>
    <row r="65" spans="5:11" ht="12" customHeight="1">
      <c r="E65" s="320"/>
      <c r="F65" s="320"/>
      <c r="G65" s="320"/>
      <c r="H65" s="320"/>
      <c r="I65" s="739"/>
      <c r="J65" s="739"/>
      <c r="K65" s="335"/>
    </row>
    <row r="66" spans="5:11" ht="12" customHeight="1">
      <c r="E66" s="320"/>
      <c r="F66" s="320"/>
      <c r="G66" s="320"/>
      <c r="H66" s="320"/>
      <c r="I66" s="739"/>
      <c r="J66" s="739"/>
      <c r="K66" s="335"/>
    </row>
    <row r="67" spans="5:11" ht="12" customHeight="1">
      <c r="E67" s="320"/>
      <c r="F67" s="320"/>
      <c r="G67" s="320"/>
      <c r="H67" s="320"/>
      <c r="I67" s="739"/>
      <c r="J67" s="739"/>
      <c r="K67" s="335"/>
    </row>
    <row r="68" spans="5:11" ht="12" customHeight="1">
      <c r="E68" s="320"/>
      <c r="F68" s="320"/>
      <c r="G68" s="320"/>
      <c r="H68" s="320"/>
      <c r="I68" s="739"/>
      <c r="J68" s="739"/>
      <c r="K68" s="335"/>
    </row>
    <row r="69" spans="5:11" ht="12" customHeight="1">
      <c r="E69" s="320"/>
      <c r="F69" s="320"/>
      <c r="G69" s="320"/>
      <c r="H69" s="320"/>
      <c r="I69" s="739"/>
      <c r="J69" s="739"/>
      <c r="K69" s="335"/>
    </row>
    <row r="70" spans="5:11" ht="12" customHeight="1">
      <c r="E70" s="320"/>
      <c r="F70" s="320"/>
      <c r="G70" s="320"/>
      <c r="H70" s="320"/>
      <c r="I70" s="739"/>
      <c r="J70" s="739"/>
      <c r="K70" s="335"/>
    </row>
    <row r="71" spans="5:11" ht="12" customHeight="1">
      <c r="E71" s="320"/>
      <c r="F71" s="320"/>
      <c r="G71" s="320"/>
      <c r="H71" s="320"/>
      <c r="I71" s="739"/>
      <c r="J71" s="739"/>
      <c r="K71" s="335"/>
    </row>
    <row r="72" spans="5:11" ht="12" customHeight="1">
      <c r="E72" s="320"/>
      <c r="F72" s="320"/>
      <c r="G72" s="320"/>
      <c r="H72" s="320"/>
      <c r="I72" s="739"/>
      <c r="J72" s="739"/>
      <c r="K72" s="335"/>
    </row>
    <row r="73" spans="5:11" ht="12" customHeight="1">
      <c r="E73" s="320"/>
      <c r="F73" s="320"/>
      <c r="G73" s="320"/>
      <c r="H73" s="320"/>
      <c r="I73" s="739"/>
      <c r="J73" s="739"/>
      <c r="K73" s="335"/>
    </row>
    <row r="74" spans="5:11" ht="12" customHeight="1">
      <c r="E74" s="320"/>
      <c r="F74" s="320"/>
      <c r="G74" s="320"/>
      <c r="H74" s="320"/>
      <c r="I74" s="739"/>
      <c r="J74" s="739"/>
      <c r="K74" s="335"/>
    </row>
    <row r="75" spans="5:11" ht="12" customHeight="1">
      <c r="E75" s="320"/>
      <c r="F75" s="320"/>
      <c r="G75" s="320"/>
      <c r="H75" s="320"/>
      <c r="I75" s="739"/>
      <c r="J75" s="739"/>
      <c r="K75" s="335"/>
    </row>
    <row r="76" spans="5:11" ht="12" customHeight="1">
      <c r="E76" s="320"/>
      <c r="F76" s="320"/>
      <c r="G76" s="320"/>
      <c r="H76" s="320"/>
      <c r="I76" s="739"/>
      <c r="J76" s="739"/>
      <c r="K76" s="335"/>
    </row>
    <row r="77" spans="5:11" ht="12" customHeight="1">
      <c r="E77" s="320"/>
      <c r="F77" s="320"/>
      <c r="G77" s="320"/>
      <c r="H77" s="320"/>
      <c r="I77" s="739"/>
      <c r="J77" s="739"/>
      <c r="K77" s="335"/>
    </row>
    <row r="78" spans="5:11" ht="12" customHeight="1">
      <c r="E78" s="320"/>
      <c r="F78" s="320"/>
      <c r="G78" s="320"/>
      <c r="H78" s="320"/>
      <c r="I78" s="739"/>
      <c r="J78" s="739"/>
      <c r="K78" s="335"/>
    </row>
    <row r="79" spans="5:11" ht="12" customHeight="1">
      <c r="E79" s="320"/>
      <c r="F79" s="320"/>
      <c r="G79" s="320"/>
      <c r="H79" s="320"/>
      <c r="I79" s="739"/>
      <c r="J79" s="739"/>
      <c r="K79" s="335"/>
    </row>
    <row r="80" spans="5:11" ht="12" customHeight="1">
      <c r="E80" s="320"/>
      <c r="F80" s="320"/>
      <c r="G80" s="320"/>
      <c r="H80" s="320"/>
      <c r="I80" s="739"/>
      <c r="J80" s="739"/>
      <c r="K80" s="335"/>
    </row>
    <row r="81" spans="5:11" ht="12" customHeight="1">
      <c r="E81" s="320"/>
      <c r="F81" s="320"/>
      <c r="G81" s="320"/>
      <c r="H81" s="320"/>
      <c r="I81" s="739"/>
      <c r="J81" s="739"/>
      <c r="K81" s="335"/>
    </row>
    <row r="82" spans="5:11" ht="12" customHeight="1">
      <c r="E82" s="320"/>
      <c r="F82" s="320"/>
      <c r="G82" s="320"/>
      <c r="H82" s="320"/>
      <c r="I82" s="739"/>
      <c r="J82" s="739"/>
      <c r="K82" s="335"/>
    </row>
    <row r="83" spans="5:11" ht="12" customHeight="1">
      <c r="E83" s="320"/>
      <c r="F83" s="320"/>
      <c r="G83" s="320"/>
      <c r="H83" s="320"/>
      <c r="I83" s="739"/>
      <c r="J83" s="739"/>
      <c r="K83" s="335"/>
    </row>
    <row r="84" spans="5:11" ht="12" customHeight="1">
      <c r="E84" s="320"/>
      <c r="F84" s="320"/>
      <c r="G84" s="320"/>
      <c r="H84" s="320"/>
      <c r="I84" s="739"/>
      <c r="J84" s="739"/>
      <c r="K84" s="335"/>
    </row>
    <row r="85" spans="5:11" ht="12" customHeight="1">
      <c r="E85" s="320"/>
      <c r="F85" s="320"/>
      <c r="G85" s="320"/>
      <c r="H85" s="320"/>
      <c r="I85" s="739"/>
      <c r="J85" s="739"/>
      <c r="K85" s="335"/>
    </row>
    <row r="86" spans="5:11" ht="12" customHeight="1">
      <c r="E86" s="320"/>
      <c r="F86" s="320"/>
      <c r="G86" s="320"/>
      <c r="H86" s="320"/>
      <c r="I86" s="739"/>
      <c r="J86" s="739"/>
      <c r="K86" s="335"/>
    </row>
    <row r="87" spans="5:11" ht="12" customHeight="1">
      <c r="E87" s="320"/>
      <c r="F87" s="320"/>
      <c r="G87" s="320"/>
      <c r="H87" s="320"/>
      <c r="I87" s="739"/>
      <c r="J87" s="739"/>
      <c r="K87" s="335"/>
    </row>
    <row r="88" spans="5:11" ht="12" customHeight="1">
      <c r="E88" s="320"/>
      <c r="F88" s="320"/>
      <c r="G88" s="320"/>
      <c r="H88" s="320"/>
      <c r="I88" s="739"/>
      <c r="J88" s="739"/>
      <c r="K88" s="335"/>
    </row>
    <row r="89" spans="5:11" ht="12" customHeight="1">
      <c r="E89" s="320"/>
      <c r="F89" s="320"/>
      <c r="G89" s="320"/>
      <c r="H89" s="320"/>
      <c r="I89" s="739"/>
      <c r="J89" s="739"/>
      <c r="K89" s="335"/>
    </row>
    <row r="90" spans="5:11" ht="12" customHeight="1">
      <c r="E90" s="320"/>
      <c r="F90" s="320"/>
      <c r="G90" s="320"/>
      <c r="H90" s="320"/>
      <c r="I90" s="739"/>
      <c r="J90" s="739"/>
      <c r="K90" s="335"/>
    </row>
    <row r="91" spans="5:11" ht="12" customHeight="1">
      <c r="E91" s="320"/>
      <c r="F91" s="320"/>
      <c r="G91" s="320"/>
      <c r="H91" s="320"/>
      <c r="I91" s="739"/>
      <c r="J91" s="739"/>
      <c r="K91" s="335"/>
    </row>
    <row r="92" spans="5:11" ht="12" customHeight="1">
      <c r="E92" s="320"/>
      <c r="F92" s="320"/>
      <c r="G92" s="320"/>
      <c r="H92" s="320"/>
      <c r="I92" s="739"/>
      <c r="J92" s="739"/>
      <c r="K92" s="335"/>
    </row>
    <row r="93" spans="5:11" ht="12" customHeight="1">
      <c r="E93" s="320"/>
      <c r="F93" s="320"/>
      <c r="G93" s="320"/>
      <c r="H93" s="320"/>
      <c r="I93" s="739"/>
      <c r="J93" s="739"/>
      <c r="K93" s="335"/>
    </row>
    <row r="94" spans="5:11" ht="12" customHeight="1">
      <c r="E94" s="320"/>
      <c r="F94" s="320"/>
      <c r="G94" s="320"/>
      <c r="H94" s="320"/>
      <c r="I94" s="739"/>
      <c r="J94" s="739"/>
      <c r="K94" s="335"/>
    </row>
    <row r="95" spans="5:11" ht="12" customHeight="1">
      <c r="E95" s="320"/>
      <c r="F95" s="320"/>
      <c r="G95" s="320"/>
      <c r="H95" s="320"/>
      <c r="I95" s="739"/>
      <c r="J95" s="739"/>
      <c r="K95" s="335"/>
    </row>
    <row r="96" spans="5:11" ht="12" customHeight="1">
      <c r="E96" s="320"/>
      <c r="F96" s="320"/>
      <c r="G96" s="320"/>
      <c r="H96" s="320"/>
      <c r="I96" s="739"/>
      <c r="J96" s="739"/>
      <c r="K96" s="335"/>
    </row>
    <row r="97" spans="5:11" ht="12" customHeight="1">
      <c r="E97" s="320"/>
      <c r="F97" s="320"/>
      <c r="G97" s="320"/>
      <c r="H97" s="320"/>
      <c r="I97" s="739"/>
      <c r="J97" s="739"/>
      <c r="K97" s="335"/>
    </row>
    <row r="98" spans="5:11" ht="12" customHeight="1">
      <c r="E98" s="320"/>
      <c r="F98" s="320"/>
      <c r="G98" s="320"/>
      <c r="H98" s="320"/>
      <c r="I98" s="739"/>
      <c r="J98" s="739"/>
      <c r="K98" s="335"/>
    </row>
    <row r="99" spans="5:11" ht="12" customHeight="1">
      <c r="E99" s="320"/>
      <c r="F99" s="320"/>
      <c r="G99" s="320"/>
      <c r="H99" s="320"/>
      <c r="I99" s="739"/>
      <c r="J99" s="739"/>
      <c r="K99" s="335"/>
    </row>
    <row r="100" spans="5:11" ht="12" customHeight="1">
      <c r="E100" s="320"/>
      <c r="F100" s="320"/>
      <c r="G100" s="320"/>
      <c r="H100" s="320"/>
      <c r="I100" s="739"/>
      <c r="J100" s="739"/>
      <c r="K100" s="335"/>
    </row>
    <row r="101" spans="5:11" ht="12" customHeight="1">
      <c r="E101" s="320"/>
      <c r="F101" s="320"/>
      <c r="G101" s="320"/>
      <c r="H101" s="320"/>
      <c r="I101" s="739"/>
      <c r="J101" s="739"/>
      <c r="K101" s="335"/>
    </row>
    <row r="102" spans="5:11" ht="12" customHeight="1">
      <c r="E102" s="320"/>
      <c r="F102" s="320"/>
      <c r="G102" s="320"/>
      <c r="H102" s="320"/>
      <c r="I102" s="739"/>
      <c r="J102" s="739"/>
      <c r="K102" s="335"/>
    </row>
    <row r="103" spans="5:11" ht="12" customHeight="1">
      <c r="E103" s="320"/>
      <c r="F103" s="320"/>
      <c r="G103" s="320"/>
      <c r="H103" s="320"/>
      <c r="I103" s="739"/>
      <c r="J103" s="739"/>
      <c r="K103" s="335"/>
    </row>
    <row r="104" spans="5:11" ht="12" customHeight="1">
      <c r="E104" s="320"/>
      <c r="F104" s="320"/>
      <c r="G104" s="320"/>
      <c r="H104" s="320"/>
      <c r="I104" s="739"/>
      <c r="J104" s="739"/>
      <c r="K104" s="335"/>
    </row>
    <row r="105" spans="5:11" ht="12" customHeight="1">
      <c r="E105" s="320"/>
      <c r="F105" s="320"/>
      <c r="G105" s="320"/>
      <c r="H105" s="320"/>
      <c r="I105" s="739"/>
      <c r="J105" s="739"/>
      <c r="K105" s="335"/>
    </row>
    <row r="106" spans="5:11" ht="12" customHeight="1">
      <c r="E106" s="320"/>
      <c r="F106" s="320"/>
      <c r="G106" s="320"/>
      <c r="H106" s="320"/>
      <c r="I106" s="739"/>
      <c r="J106" s="739"/>
      <c r="K106" s="335"/>
    </row>
    <row r="107" spans="5:11" ht="12" customHeight="1">
      <c r="E107" s="320"/>
      <c r="F107" s="320"/>
      <c r="G107" s="320"/>
      <c r="H107" s="320"/>
      <c r="I107" s="739"/>
      <c r="J107" s="739"/>
      <c r="K107" s="335"/>
    </row>
    <row r="108" spans="5:11" ht="12" customHeight="1">
      <c r="E108" s="320"/>
      <c r="F108" s="320"/>
      <c r="G108" s="320"/>
      <c r="H108" s="320"/>
      <c r="I108" s="739"/>
      <c r="J108" s="739"/>
      <c r="K108" s="335"/>
    </row>
    <row r="109" spans="5:11" ht="12" customHeight="1">
      <c r="E109" s="320"/>
      <c r="F109" s="320"/>
      <c r="G109" s="320"/>
      <c r="H109" s="320"/>
      <c r="I109" s="739"/>
      <c r="J109" s="739"/>
      <c r="K109" s="335"/>
    </row>
    <row r="110" spans="5:11" ht="12" customHeight="1">
      <c r="E110" s="320"/>
      <c r="F110" s="320"/>
      <c r="G110" s="320"/>
      <c r="H110" s="320"/>
      <c r="I110" s="739"/>
      <c r="J110" s="739"/>
      <c r="K110" s="335"/>
    </row>
    <row r="111" spans="5:11" ht="12" customHeight="1">
      <c r="E111" s="320"/>
      <c r="F111" s="320"/>
      <c r="G111" s="320"/>
      <c r="H111" s="320"/>
      <c r="I111" s="739"/>
      <c r="J111" s="739"/>
      <c r="K111" s="335"/>
    </row>
    <row r="112" spans="5:11" ht="12" customHeight="1">
      <c r="E112" s="320"/>
      <c r="F112" s="320"/>
      <c r="G112" s="320"/>
      <c r="H112" s="320"/>
      <c r="I112" s="739"/>
      <c r="J112" s="739"/>
      <c r="K112" s="335"/>
    </row>
    <row r="113" spans="5:11" ht="12" customHeight="1">
      <c r="E113" s="320"/>
      <c r="F113" s="320"/>
      <c r="G113" s="320"/>
      <c r="H113" s="320"/>
      <c r="I113" s="739"/>
      <c r="J113" s="739"/>
      <c r="K113" s="335"/>
    </row>
    <row r="114" spans="5:11" ht="12" customHeight="1">
      <c r="E114" s="320"/>
      <c r="F114" s="320"/>
      <c r="G114" s="320"/>
      <c r="H114" s="320"/>
      <c r="I114" s="739"/>
      <c r="J114" s="739"/>
      <c r="K114" s="335"/>
    </row>
    <row r="115" spans="5:11" ht="12" customHeight="1">
      <c r="E115" s="320"/>
      <c r="F115" s="320"/>
      <c r="G115" s="320"/>
      <c r="H115" s="320"/>
      <c r="I115" s="739"/>
      <c r="J115" s="739"/>
      <c r="K115" s="335"/>
    </row>
    <row r="116" spans="5:11" ht="12" customHeight="1">
      <c r="E116" s="320"/>
      <c r="F116" s="320"/>
      <c r="G116" s="320"/>
      <c r="H116" s="320"/>
      <c r="I116" s="739"/>
      <c r="J116" s="739"/>
      <c r="K116" s="335"/>
    </row>
    <row r="117" spans="5:11" ht="12" customHeight="1">
      <c r="E117" s="320"/>
      <c r="F117" s="320"/>
      <c r="G117" s="320"/>
      <c r="H117" s="320"/>
      <c r="I117" s="739"/>
      <c r="J117" s="739"/>
      <c r="K117" s="335"/>
    </row>
    <row r="118" spans="5:11" ht="12" customHeight="1">
      <c r="E118" s="320"/>
      <c r="F118" s="320"/>
      <c r="G118" s="320"/>
      <c r="H118" s="320"/>
      <c r="I118" s="739"/>
      <c r="J118" s="739"/>
      <c r="K118" s="335"/>
    </row>
    <row r="119" spans="5:11" ht="12" customHeight="1">
      <c r="E119" s="320"/>
      <c r="F119" s="320"/>
      <c r="G119" s="320"/>
      <c r="H119" s="320"/>
      <c r="I119" s="739"/>
      <c r="J119" s="739"/>
      <c r="K119" s="335"/>
    </row>
    <row r="120" spans="5:11" ht="12" customHeight="1">
      <c r="E120" s="320"/>
      <c r="F120" s="320"/>
      <c r="G120" s="320"/>
      <c r="H120" s="320"/>
      <c r="I120" s="739"/>
      <c r="J120" s="739"/>
      <c r="K120" s="335"/>
    </row>
    <row r="121" spans="5:11" ht="12" customHeight="1">
      <c r="E121" s="320"/>
      <c r="F121" s="320"/>
      <c r="G121" s="320"/>
      <c r="H121" s="320"/>
      <c r="I121" s="739"/>
      <c r="J121" s="739"/>
      <c r="K121" s="335"/>
    </row>
    <row r="122" spans="5:11" ht="12" customHeight="1">
      <c r="E122" s="320"/>
      <c r="F122" s="320"/>
      <c r="G122" s="320"/>
      <c r="H122" s="320"/>
      <c r="I122" s="739"/>
      <c r="J122" s="739"/>
      <c r="K122" s="335"/>
    </row>
    <row r="123" spans="5:11" ht="12" customHeight="1">
      <c r="E123" s="320"/>
      <c r="F123" s="320"/>
      <c r="G123" s="320"/>
      <c r="H123" s="320"/>
      <c r="I123" s="739"/>
      <c r="J123" s="739"/>
      <c r="K123" s="335"/>
    </row>
    <row r="124" spans="5:11" ht="12" customHeight="1">
      <c r="E124" s="320"/>
      <c r="F124" s="320"/>
      <c r="G124" s="320"/>
      <c r="H124" s="320"/>
      <c r="I124" s="739"/>
      <c r="J124" s="739"/>
      <c r="K124" s="335"/>
    </row>
    <row r="125" spans="5:11" ht="12" customHeight="1">
      <c r="E125" s="320"/>
      <c r="F125" s="320"/>
      <c r="G125" s="320"/>
      <c r="H125" s="320"/>
      <c r="I125" s="739"/>
      <c r="J125" s="739"/>
      <c r="K125" s="335"/>
    </row>
    <row r="126" spans="5:11" ht="12" customHeight="1">
      <c r="E126" s="320"/>
      <c r="F126" s="320"/>
      <c r="G126" s="320"/>
      <c r="H126" s="320"/>
      <c r="I126" s="739"/>
      <c r="J126" s="739"/>
      <c r="K126" s="335"/>
    </row>
    <row r="127" spans="5:11" ht="12" customHeight="1">
      <c r="H127" s="320"/>
    </row>
  </sheetData>
  <mergeCells count="4">
    <mergeCell ref="A9:J9"/>
    <mergeCell ref="A12:J12"/>
    <mergeCell ref="A15:J15"/>
    <mergeCell ref="A18:J18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91" fitToHeight="3" orientation="landscape" r:id="rId1"/>
  <headerFooter alignWithMargins="0"/>
  <ignoredErrors>
    <ignoredError sqref="I3:J8 I16:J17 I13:J14 I10:J11 K3:K17" unlockedFormula="1"/>
  </ignoredErrors>
  <legacyDrawing r:id="rId2"/>
  <legacyDrawingHF r:id="rId3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27"/>
  <sheetViews>
    <sheetView view="pageBreakPreview" zoomScaleNormal="115" workbookViewId="0">
      <selection activeCell="E11" sqref="E11"/>
    </sheetView>
  </sheetViews>
  <sheetFormatPr defaultRowHeight="12" customHeight="1"/>
  <cols>
    <col min="1" max="1" width="8" style="318" customWidth="1"/>
    <col min="2" max="2" width="3.88671875" style="318" customWidth="1"/>
    <col min="3" max="3" width="5.5546875" style="318" customWidth="1"/>
    <col min="4" max="4" width="44.33203125" style="324" customWidth="1"/>
    <col min="5" max="5" width="7.88671875" style="324" customWidth="1"/>
    <col min="6" max="6" width="9.33203125" style="324" customWidth="1"/>
    <col min="7" max="7" width="7.88671875" style="324" customWidth="1"/>
    <col min="8" max="8" width="7.77734375" style="324" customWidth="1"/>
    <col min="9" max="10" width="7.88671875" style="737" customWidth="1"/>
    <col min="11" max="11" width="7.88671875" style="336" customWidth="1"/>
    <col min="12" max="12" width="5.77734375" style="323" customWidth="1"/>
    <col min="13" max="257" width="8.88671875" style="323"/>
    <col min="258" max="258" width="6.109375" style="323" customWidth="1"/>
    <col min="259" max="259" width="3.88671875" style="323" customWidth="1"/>
    <col min="260" max="260" width="5.5546875" style="323" customWidth="1"/>
    <col min="261" max="261" width="44.33203125" style="323" customWidth="1"/>
    <col min="262" max="267" width="7.88671875" style="323" customWidth="1"/>
    <col min="268" max="268" width="5.77734375" style="323" customWidth="1"/>
    <col min="269" max="513" width="8.88671875" style="323"/>
    <col min="514" max="514" width="6.109375" style="323" customWidth="1"/>
    <col min="515" max="515" width="3.88671875" style="323" customWidth="1"/>
    <col min="516" max="516" width="5.5546875" style="323" customWidth="1"/>
    <col min="517" max="517" width="44.33203125" style="323" customWidth="1"/>
    <col min="518" max="523" width="7.88671875" style="323" customWidth="1"/>
    <col min="524" max="524" width="5.77734375" style="323" customWidth="1"/>
    <col min="525" max="769" width="8.88671875" style="323"/>
    <col min="770" max="770" width="6.109375" style="323" customWidth="1"/>
    <col min="771" max="771" width="3.88671875" style="323" customWidth="1"/>
    <col min="772" max="772" width="5.5546875" style="323" customWidth="1"/>
    <col min="773" max="773" width="44.33203125" style="323" customWidth="1"/>
    <col min="774" max="779" width="7.88671875" style="323" customWidth="1"/>
    <col min="780" max="780" width="5.77734375" style="323" customWidth="1"/>
    <col min="781" max="1025" width="8.88671875" style="323"/>
    <col min="1026" max="1026" width="6.109375" style="323" customWidth="1"/>
    <col min="1027" max="1027" width="3.88671875" style="323" customWidth="1"/>
    <col min="1028" max="1028" width="5.5546875" style="323" customWidth="1"/>
    <col min="1029" max="1029" width="44.33203125" style="323" customWidth="1"/>
    <col min="1030" max="1035" width="7.88671875" style="323" customWidth="1"/>
    <col min="1036" max="1036" width="5.77734375" style="323" customWidth="1"/>
    <col min="1037" max="1281" width="8.88671875" style="323"/>
    <col min="1282" max="1282" width="6.109375" style="323" customWidth="1"/>
    <col min="1283" max="1283" width="3.88671875" style="323" customWidth="1"/>
    <col min="1284" max="1284" width="5.5546875" style="323" customWidth="1"/>
    <col min="1285" max="1285" width="44.33203125" style="323" customWidth="1"/>
    <col min="1286" max="1291" width="7.88671875" style="323" customWidth="1"/>
    <col min="1292" max="1292" width="5.77734375" style="323" customWidth="1"/>
    <col min="1293" max="1537" width="8.88671875" style="323"/>
    <col min="1538" max="1538" width="6.109375" style="323" customWidth="1"/>
    <col min="1539" max="1539" width="3.88671875" style="323" customWidth="1"/>
    <col min="1540" max="1540" width="5.5546875" style="323" customWidth="1"/>
    <col min="1541" max="1541" width="44.33203125" style="323" customWidth="1"/>
    <col min="1542" max="1547" width="7.88671875" style="323" customWidth="1"/>
    <col min="1548" max="1548" width="5.77734375" style="323" customWidth="1"/>
    <col min="1549" max="1793" width="8.88671875" style="323"/>
    <col min="1794" max="1794" width="6.109375" style="323" customWidth="1"/>
    <col min="1795" max="1795" width="3.88671875" style="323" customWidth="1"/>
    <col min="1796" max="1796" width="5.5546875" style="323" customWidth="1"/>
    <col min="1797" max="1797" width="44.33203125" style="323" customWidth="1"/>
    <col min="1798" max="1803" width="7.88671875" style="323" customWidth="1"/>
    <col min="1804" max="1804" width="5.77734375" style="323" customWidth="1"/>
    <col min="1805" max="2049" width="8.88671875" style="323"/>
    <col min="2050" max="2050" width="6.109375" style="323" customWidth="1"/>
    <col min="2051" max="2051" width="3.88671875" style="323" customWidth="1"/>
    <col min="2052" max="2052" width="5.5546875" style="323" customWidth="1"/>
    <col min="2053" max="2053" width="44.33203125" style="323" customWidth="1"/>
    <col min="2054" max="2059" width="7.88671875" style="323" customWidth="1"/>
    <col min="2060" max="2060" width="5.77734375" style="323" customWidth="1"/>
    <col min="2061" max="2305" width="8.88671875" style="323"/>
    <col min="2306" max="2306" width="6.109375" style="323" customWidth="1"/>
    <col min="2307" max="2307" width="3.88671875" style="323" customWidth="1"/>
    <col min="2308" max="2308" width="5.5546875" style="323" customWidth="1"/>
    <col min="2309" max="2309" width="44.33203125" style="323" customWidth="1"/>
    <col min="2310" max="2315" width="7.88671875" style="323" customWidth="1"/>
    <col min="2316" max="2316" width="5.77734375" style="323" customWidth="1"/>
    <col min="2317" max="2561" width="8.88671875" style="323"/>
    <col min="2562" max="2562" width="6.109375" style="323" customWidth="1"/>
    <col min="2563" max="2563" width="3.88671875" style="323" customWidth="1"/>
    <col min="2564" max="2564" width="5.5546875" style="323" customWidth="1"/>
    <col min="2565" max="2565" width="44.33203125" style="323" customWidth="1"/>
    <col min="2566" max="2571" width="7.88671875" style="323" customWidth="1"/>
    <col min="2572" max="2572" width="5.77734375" style="323" customWidth="1"/>
    <col min="2573" max="2817" width="8.88671875" style="323"/>
    <col min="2818" max="2818" width="6.109375" style="323" customWidth="1"/>
    <col min="2819" max="2819" width="3.88671875" style="323" customWidth="1"/>
    <col min="2820" max="2820" width="5.5546875" style="323" customWidth="1"/>
    <col min="2821" max="2821" width="44.33203125" style="323" customWidth="1"/>
    <col min="2822" max="2827" width="7.88671875" style="323" customWidth="1"/>
    <col min="2828" max="2828" width="5.77734375" style="323" customWidth="1"/>
    <col min="2829" max="3073" width="8.88671875" style="323"/>
    <col min="3074" max="3074" width="6.109375" style="323" customWidth="1"/>
    <col min="3075" max="3075" width="3.88671875" style="323" customWidth="1"/>
    <col min="3076" max="3076" width="5.5546875" style="323" customWidth="1"/>
    <col min="3077" max="3077" width="44.33203125" style="323" customWidth="1"/>
    <col min="3078" max="3083" width="7.88671875" style="323" customWidth="1"/>
    <col min="3084" max="3084" width="5.77734375" style="323" customWidth="1"/>
    <col min="3085" max="3329" width="8.88671875" style="323"/>
    <col min="3330" max="3330" width="6.109375" style="323" customWidth="1"/>
    <col min="3331" max="3331" width="3.88671875" style="323" customWidth="1"/>
    <col min="3332" max="3332" width="5.5546875" style="323" customWidth="1"/>
    <col min="3333" max="3333" width="44.33203125" style="323" customWidth="1"/>
    <col min="3334" max="3339" width="7.88671875" style="323" customWidth="1"/>
    <col min="3340" max="3340" width="5.77734375" style="323" customWidth="1"/>
    <col min="3341" max="3585" width="8.88671875" style="323"/>
    <col min="3586" max="3586" width="6.109375" style="323" customWidth="1"/>
    <col min="3587" max="3587" width="3.88671875" style="323" customWidth="1"/>
    <col min="3588" max="3588" width="5.5546875" style="323" customWidth="1"/>
    <col min="3589" max="3589" width="44.33203125" style="323" customWidth="1"/>
    <col min="3590" max="3595" width="7.88671875" style="323" customWidth="1"/>
    <col min="3596" max="3596" width="5.77734375" style="323" customWidth="1"/>
    <col min="3597" max="3841" width="8.88671875" style="323"/>
    <col min="3842" max="3842" width="6.109375" style="323" customWidth="1"/>
    <col min="3843" max="3843" width="3.88671875" style="323" customWidth="1"/>
    <col min="3844" max="3844" width="5.5546875" style="323" customWidth="1"/>
    <col min="3845" max="3845" width="44.33203125" style="323" customWidth="1"/>
    <col min="3846" max="3851" width="7.88671875" style="323" customWidth="1"/>
    <col min="3852" max="3852" width="5.77734375" style="323" customWidth="1"/>
    <col min="3853" max="4097" width="8.88671875" style="323"/>
    <col min="4098" max="4098" width="6.109375" style="323" customWidth="1"/>
    <col min="4099" max="4099" width="3.88671875" style="323" customWidth="1"/>
    <col min="4100" max="4100" width="5.5546875" style="323" customWidth="1"/>
    <col min="4101" max="4101" width="44.33203125" style="323" customWidth="1"/>
    <col min="4102" max="4107" width="7.88671875" style="323" customWidth="1"/>
    <col min="4108" max="4108" width="5.77734375" style="323" customWidth="1"/>
    <col min="4109" max="4353" width="8.88671875" style="323"/>
    <col min="4354" max="4354" width="6.109375" style="323" customWidth="1"/>
    <col min="4355" max="4355" width="3.88671875" style="323" customWidth="1"/>
    <col min="4356" max="4356" width="5.5546875" style="323" customWidth="1"/>
    <col min="4357" max="4357" width="44.33203125" style="323" customWidth="1"/>
    <col min="4358" max="4363" width="7.88671875" style="323" customWidth="1"/>
    <col min="4364" max="4364" width="5.77734375" style="323" customWidth="1"/>
    <col min="4365" max="4609" width="8.88671875" style="323"/>
    <col min="4610" max="4610" width="6.109375" style="323" customWidth="1"/>
    <col min="4611" max="4611" width="3.88671875" style="323" customWidth="1"/>
    <col min="4612" max="4612" width="5.5546875" style="323" customWidth="1"/>
    <col min="4613" max="4613" width="44.33203125" style="323" customWidth="1"/>
    <col min="4614" max="4619" width="7.88671875" style="323" customWidth="1"/>
    <col min="4620" max="4620" width="5.77734375" style="323" customWidth="1"/>
    <col min="4621" max="4865" width="8.88671875" style="323"/>
    <col min="4866" max="4866" width="6.109375" style="323" customWidth="1"/>
    <col min="4867" max="4867" width="3.88671875" style="323" customWidth="1"/>
    <col min="4868" max="4868" width="5.5546875" style="323" customWidth="1"/>
    <col min="4869" max="4869" width="44.33203125" style="323" customWidth="1"/>
    <col min="4870" max="4875" width="7.88671875" style="323" customWidth="1"/>
    <col min="4876" max="4876" width="5.77734375" style="323" customWidth="1"/>
    <col min="4877" max="5121" width="8.88671875" style="323"/>
    <col min="5122" max="5122" width="6.109375" style="323" customWidth="1"/>
    <col min="5123" max="5123" width="3.88671875" style="323" customWidth="1"/>
    <col min="5124" max="5124" width="5.5546875" style="323" customWidth="1"/>
    <col min="5125" max="5125" width="44.33203125" style="323" customWidth="1"/>
    <col min="5126" max="5131" width="7.88671875" style="323" customWidth="1"/>
    <col min="5132" max="5132" width="5.77734375" style="323" customWidth="1"/>
    <col min="5133" max="5377" width="8.88671875" style="323"/>
    <col min="5378" max="5378" width="6.109375" style="323" customWidth="1"/>
    <col min="5379" max="5379" width="3.88671875" style="323" customWidth="1"/>
    <col min="5380" max="5380" width="5.5546875" style="323" customWidth="1"/>
    <col min="5381" max="5381" width="44.33203125" style="323" customWidth="1"/>
    <col min="5382" max="5387" width="7.88671875" style="323" customWidth="1"/>
    <col min="5388" max="5388" width="5.77734375" style="323" customWidth="1"/>
    <col min="5389" max="5633" width="8.88671875" style="323"/>
    <col min="5634" max="5634" width="6.109375" style="323" customWidth="1"/>
    <col min="5635" max="5635" width="3.88671875" style="323" customWidth="1"/>
    <col min="5636" max="5636" width="5.5546875" style="323" customWidth="1"/>
    <col min="5637" max="5637" width="44.33203125" style="323" customWidth="1"/>
    <col min="5638" max="5643" width="7.88671875" style="323" customWidth="1"/>
    <col min="5644" max="5644" width="5.77734375" style="323" customWidth="1"/>
    <col min="5645" max="5889" width="8.88671875" style="323"/>
    <col min="5890" max="5890" width="6.109375" style="323" customWidth="1"/>
    <col min="5891" max="5891" width="3.88671875" style="323" customWidth="1"/>
    <col min="5892" max="5892" width="5.5546875" style="323" customWidth="1"/>
    <col min="5893" max="5893" width="44.33203125" style="323" customWidth="1"/>
    <col min="5894" max="5899" width="7.88671875" style="323" customWidth="1"/>
    <col min="5900" max="5900" width="5.77734375" style="323" customWidth="1"/>
    <col min="5901" max="6145" width="8.88671875" style="323"/>
    <col min="6146" max="6146" width="6.109375" style="323" customWidth="1"/>
    <col min="6147" max="6147" width="3.88671875" style="323" customWidth="1"/>
    <col min="6148" max="6148" width="5.5546875" style="323" customWidth="1"/>
    <col min="6149" max="6149" width="44.33203125" style="323" customWidth="1"/>
    <col min="6150" max="6155" width="7.88671875" style="323" customWidth="1"/>
    <col min="6156" max="6156" width="5.77734375" style="323" customWidth="1"/>
    <col min="6157" max="6401" width="8.88671875" style="323"/>
    <col min="6402" max="6402" width="6.109375" style="323" customWidth="1"/>
    <col min="6403" max="6403" width="3.88671875" style="323" customWidth="1"/>
    <col min="6404" max="6404" width="5.5546875" style="323" customWidth="1"/>
    <col min="6405" max="6405" width="44.33203125" style="323" customWidth="1"/>
    <col min="6406" max="6411" width="7.88671875" style="323" customWidth="1"/>
    <col min="6412" max="6412" width="5.77734375" style="323" customWidth="1"/>
    <col min="6413" max="6657" width="8.88671875" style="323"/>
    <col min="6658" max="6658" width="6.109375" style="323" customWidth="1"/>
    <col min="6659" max="6659" width="3.88671875" style="323" customWidth="1"/>
    <col min="6660" max="6660" width="5.5546875" style="323" customWidth="1"/>
    <col min="6661" max="6661" width="44.33203125" style="323" customWidth="1"/>
    <col min="6662" max="6667" width="7.88671875" style="323" customWidth="1"/>
    <col min="6668" max="6668" width="5.77734375" style="323" customWidth="1"/>
    <col min="6669" max="6913" width="8.88671875" style="323"/>
    <col min="6914" max="6914" width="6.109375" style="323" customWidth="1"/>
    <col min="6915" max="6915" width="3.88671875" style="323" customWidth="1"/>
    <col min="6916" max="6916" width="5.5546875" style="323" customWidth="1"/>
    <col min="6917" max="6917" width="44.33203125" style="323" customWidth="1"/>
    <col min="6918" max="6923" width="7.88671875" style="323" customWidth="1"/>
    <col min="6924" max="6924" width="5.77734375" style="323" customWidth="1"/>
    <col min="6925" max="7169" width="8.88671875" style="323"/>
    <col min="7170" max="7170" width="6.109375" style="323" customWidth="1"/>
    <col min="7171" max="7171" width="3.88671875" style="323" customWidth="1"/>
    <col min="7172" max="7172" width="5.5546875" style="323" customWidth="1"/>
    <col min="7173" max="7173" width="44.33203125" style="323" customWidth="1"/>
    <col min="7174" max="7179" width="7.88671875" style="323" customWidth="1"/>
    <col min="7180" max="7180" width="5.77734375" style="323" customWidth="1"/>
    <col min="7181" max="7425" width="8.88671875" style="323"/>
    <col min="7426" max="7426" width="6.109375" style="323" customWidth="1"/>
    <col min="7427" max="7427" width="3.88671875" style="323" customWidth="1"/>
    <col min="7428" max="7428" width="5.5546875" style="323" customWidth="1"/>
    <col min="7429" max="7429" width="44.33203125" style="323" customWidth="1"/>
    <col min="7430" max="7435" width="7.88671875" style="323" customWidth="1"/>
    <col min="7436" max="7436" width="5.77734375" style="323" customWidth="1"/>
    <col min="7437" max="7681" width="8.88671875" style="323"/>
    <col min="7682" max="7682" width="6.109375" style="323" customWidth="1"/>
    <col min="7683" max="7683" width="3.88671875" style="323" customWidth="1"/>
    <col min="7684" max="7684" width="5.5546875" style="323" customWidth="1"/>
    <col min="7685" max="7685" width="44.33203125" style="323" customWidth="1"/>
    <col min="7686" max="7691" width="7.88671875" style="323" customWidth="1"/>
    <col min="7692" max="7692" width="5.77734375" style="323" customWidth="1"/>
    <col min="7693" max="7937" width="8.88671875" style="323"/>
    <col min="7938" max="7938" width="6.109375" style="323" customWidth="1"/>
    <col min="7939" max="7939" width="3.88671875" style="323" customWidth="1"/>
    <col min="7940" max="7940" width="5.5546875" style="323" customWidth="1"/>
    <col min="7941" max="7941" width="44.33203125" style="323" customWidth="1"/>
    <col min="7942" max="7947" width="7.88671875" style="323" customWidth="1"/>
    <col min="7948" max="7948" width="5.77734375" style="323" customWidth="1"/>
    <col min="7949" max="8193" width="8.88671875" style="323"/>
    <col min="8194" max="8194" width="6.109375" style="323" customWidth="1"/>
    <col min="8195" max="8195" width="3.88671875" style="323" customWidth="1"/>
    <col min="8196" max="8196" width="5.5546875" style="323" customWidth="1"/>
    <col min="8197" max="8197" width="44.33203125" style="323" customWidth="1"/>
    <col min="8198" max="8203" width="7.88671875" style="323" customWidth="1"/>
    <col min="8204" max="8204" width="5.77734375" style="323" customWidth="1"/>
    <col min="8205" max="8449" width="8.88671875" style="323"/>
    <col min="8450" max="8450" width="6.109375" style="323" customWidth="1"/>
    <col min="8451" max="8451" width="3.88671875" style="323" customWidth="1"/>
    <col min="8452" max="8452" width="5.5546875" style="323" customWidth="1"/>
    <col min="8453" max="8453" width="44.33203125" style="323" customWidth="1"/>
    <col min="8454" max="8459" width="7.88671875" style="323" customWidth="1"/>
    <col min="8460" max="8460" width="5.77734375" style="323" customWidth="1"/>
    <col min="8461" max="8705" width="8.88671875" style="323"/>
    <col min="8706" max="8706" width="6.109375" style="323" customWidth="1"/>
    <col min="8707" max="8707" width="3.88671875" style="323" customWidth="1"/>
    <col min="8708" max="8708" width="5.5546875" style="323" customWidth="1"/>
    <col min="8709" max="8709" width="44.33203125" style="323" customWidth="1"/>
    <col min="8710" max="8715" width="7.88671875" style="323" customWidth="1"/>
    <col min="8716" max="8716" width="5.77734375" style="323" customWidth="1"/>
    <col min="8717" max="8961" width="8.88671875" style="323"/>
    <col min="8962" max="8962" width="6.109375" style="323" customWidth="1"/>
    <col min="8963" max="8963" width="3.88671875" style="323" customWidth="1"/>
    <col min="8964" max="8964" width="5.5546875" style="323" customWidth="1"/>
    <col min="8965" max="8965" width="44.33203125" style="323" customWidth="1"/>
    <col min="8966" max="8971" width="7.88671875" style="323" customWidth="1"/>
    <col min="8972" max="8972" width="5.77734375" style="323" customWidth="1"/>
    <col min="8973" max="9217" width="8.88671875" style="323"/>
    <col min="9218" max="9218" width="6.109375" style="323" customWidth="1"/>
    <col min="9219" max="9219" width="3.88671875" style="323" customWidth="1"/>
    <col min="9220" max="9220" width="5.5546875" style="323" customWidth="1"/>
    <col min="9221" max="9221" width="44.33203125" style="323" customWidth="1"/>
    <col min="9222" max="9227" width="7.88671875" style="323" customWidth="1"/>
    <col min="9228" max="9228" width="5.77734375" style="323" customWidth="1"/>
    <col min="9229" max="9473" width="8.88671875" style="323"/>
    <col min="9474" max="9474" width="6.109375" style="323" customWidth="1"/>
    <col min="9475" max="9475" width="3.88671875" style="323" customWidth="1"/>
    <col min="9476" max="9476" width="5.5546875" style="323" customWidth="1"/>
    <col min="9477" max="9477" width="44.33203125" style="323" customWidth="1"/>
    <col min="9478" max="9483" width="7.88671875" style="323" customWidth="1"/>
    <col min="9484" max="9484" width="5.77734375" style="323" customWidth="1"/>
    <col min="9485" max="9729" width="8.88671875" style="323"/>
    <col min="9730" max="9730" width="6.109375" style="323" customWidth="1"/>
    <col min="9731" max="9731" width="3.88671875" style="323" customWidth="1"/>
    <col min="9732" max="9732" width="5.5546875" style="323" customWidth="1"/>
    <col min="9733" max="9733" width="44.33203125" style="323" customWidth="1"/>
    <col min="9734" max="9739" width="7.88671875" style="323" customWidth="1"/>
    <col min="9740" max="9740" width="5.77734375" style="323" customWidth="1"/>
    <col min="9741" max="9985" width="8.88671875" style="323"/>
    <col min="9986" max="9986" width="6.109375" style="323" customWidth="1"/>
    <col min="9987" max="9987" width="3.88671875" style="323" customWidth="1"/>
    <col min="9988" max="9988" width="5.5546875" style="323" customWidth="1"/>
    <col min="9989" max="9989" width="44.33203125" style="323" customWidth="1"/>
    <col min="9990" max="9995" width="7.88671875" style="323" customWidth="1"/>
    <col min="9996" max="9996" width="5.77734375" style="323" customWidth="1"/>
    <col min="9997" max="10241" width="8.88671875" style="323"/>
    <col min="10242" max="10242" width="6.109375" style="323" customWidth="1"/>
    <col min="10243" max="10243" width="3.88671875" style="323" customWidth="1"/>
    <col min="10244" max="10244" width="5.5546875" style="323" customWidth="1"/>
    <col min="10245" max="10245" width="44.33203125" style="323" customWidth="1"/>
    <col min="10246" max="10251" width="7.88671875" style="323" customWidth="1"/>
    <col min="10252" max="10252" width="5.77734375" style="323" customWidth="1"/>
    <col min="10253" max="10497" width="8.88671875" style="323"/>
    <col min="10498" max="10498" width="6.109375" style="323" customWidth="1"/>
    <col min="10499" max="10499" width="3.88671875" style="323" customWidth="1"/>
    <col min="10500" max="10500" width="5.5546875" style="323" customWidth="1"/>
    <col min="10501" max="10501" width="44.33203125" style="323" customWidth="1"/>
    <col min="10502" max="10507" width="7.88671875" style="323" customWidth="1"/>
    <col min="10508" max="10508" width="5.77734375" style="323" customWidth="1"/>
    <col min="10509" max="10753" width="8.88671875" style="323"/>
    <col min="10754" max="10754" width="6.109375" style="323" customWidth="1"/>
    <col min="10755" max="10755" width="3.88671875" style="323" customWidth="1"/>
    <col min="10756" max="10756" width="5.5546875" style="323" customWidth="1"/>
    <col min="10757" max="10757" width="44.33203125" style="323" customWidth="1"/>
    <col min="10758" max="10763" width="7.88671875" style="323" customWidth="1"/>
    <col min="10764" max="10764" width="5.77734375" style="323" customWidth="1"/>
    <col min="10765" max="11009" width="8.88671875" style="323"/>
    <col min="11010" max="11010" width="6.109375" style="323" customWidth="1"/>
    <col min="11011" max="11011" width="3.88671875" style="323" customWidth="1"/>
    <col min="11012" max="11012" width="5.5546875" style="323" customWidth="1"/>
    <col min="11013" max="11013" width="44.33203125" style="323" customWidth="1"/>
    <col min="11014" max="11019" width="7.88671875" style="323" customWidth="1"/>
    <col min="11020" max="11020" width="5.77734375" style="323" customWidth="1"/>
    <col min="11021" max="11265" width="8.88671875" style="323"/>
    <col min="11266" max="11266" width="6.109375" style="323" customWidth="1"/>
    <col min="11267" max="11267" width="3.88671875" style="323" customWidth="1"/>
    <col min="11268" max="11268" width="5.5546875" style="323" customWidth="1"/>
    <col min="11269" max="11269" width="44.33203125" style="323" customWidth="1"/>
    <col min="11270" max="11275" width="7.88671875" style="323" customWidth="1"/>
    <col min="11276" max="11276" width="5.77734375" style="323" customWidth="1"/>
    <col min="11277" max="11521" width="8.88671875" style="323"/>
    <col min="11522" max="11522" width="6.109375" style="323" customWidth="1"/>
    <col min="11523" max="11523" width="3.88671875" style="323" customWidth="1"/>
    <col min="11524" max="11524" width="5.5546875" style="323" customWidth="1"/>
    <col min="11525" max="11525" width="44.33203125" style="323" customWidth="1"/>
    <col min="11526" max="11531" width="7.88671875" style="323" customWidth="1"/>
    <col min="11532" max="11532" width="5.77734375" style="323" customWidth="1"/>
    <col min="11533" max="11777" width="8.88671875" style="323"/>
    <col min="11778" max="11778" width="6.109375" style="323" customWidth="1"/>
    <col min="11779" max="11779" width="3.88671875" style="323" customWidth="1"/>
    <col min="11780" max="11780" width="5.5546875" style="323" customWidth="1"/>
    <col min="11781" max="11781" width="44.33203125" style="323" customWidth="1"/>
    <col min="11782" max="11787" width="7.88671875" style="323" customWidth="1"/>
    <col min="11788" max="11788" width="5.77734375" style="323" customWidth="1"/>
    <col min="11789" max="12033" width="8.88671875" style="323"/>
    <col min="12034" max="12034" width="6.109375" style="323" customWidth="1"/>
    <col min="12035" max="12035" width="3.88671875" style="323" customWidth="1"/>
    <col min="12036" max="12036" width="5.5546875" style="323" customWidth="1"/>
    <col min="12037" max="12037" width="44.33203125" style="323" customWidth="1"/>
    <col min="12038" max="12043" width="7.88671875" style="323" customWidth="1"/>
    <col min="12044" max="12044" width="5.77734375" style="323" customWidth="1"/>
    <col min="12045" max="12289" width="8.88671875" style="323"/>
    <col min="12290" max="12290" width="6.109375" style="323" customWidth="1"/>
    <col min="12291" max="12291" width="3.88671875" style="323" customWidth="1"/>
    <col min="12292" max="12292" width="5.5546875" style="323" customWidth="1"/>
    <col min="12293" max="12293" width="44.33203125" style="323" customWidth="1"/>
    <col min="12294" max="12299" width="7.88671875" style="323" customWidth="1"/>
    <col min="12300" max="12300" width="5.77734375" style="323" customWidth="1"/>
    <col min="12301" max="12545" width="8.88671875" style="323"/>
    <col min="12546" max="12546" width="6.109375" style="323" customWidth="1"/>
    <col min="12547" max="12547" width="3.88671875" style="323" customWidth="1"/>
    <col min="12548" max="12548" width="5.5546875" style="323" customWidth="1"/>
    <col min="12549" max="12549" width="44.33203125" style="323" customWidth="1"/>
    <col min="12550" max="12555" width="7.88671875" style="323" customWidth="1"/>
    <col min="12556" max="12556" width="5.77734375" style="323" customWidth="1"/>
    <col min="12557" max="12801" width="8.88671875" style="323"/>
    <col min="12802" max="12802" width="6.109375" style="323" customWidth="1"/>
    <col min="12803" max="12803" width="3.88671875" style="323" customWidth="1"/>
    <col min="12804" max="12804" width="5.5546875" style="323" customWidth="1"/>
    <col min="12805" max="12805" width="44.33203125" style="323" customWidth="1"/>
    <col min="12806" max="12811" width="7.88671875" style="323" customWidth="1"/>
    <col min="12812" max="12812" width="5.77734375" style="323" customWidth="1"/>
    <col min="12813" max="13057" width="8.88671875" style="323"/>
    <col min="13058" max="13058" width="6.109375" style="323" customWidth="1"/>
    <col min="13059" max="13059" width="3.88671875" style="323" customWidth="1"/>
    <col min="13060" max="13060" width="5.5546875" style="323" customWidth="1"/>
    <col min="13061" max="13061" width="44.33203125" style="323" customWidth="1"/>
    <col min="13062" max="13067" width="7.88671875" style="323" customWidth="1"/>
    <col min="13068" max="13068" width="5.77734375" style="323" customWidth="1"/>
    <col min="13069" max="13313" width="8.88671875" style="323"/>
    <col min="13314" max="13314" width="6.109375" style="323" customWidth="1"/>
    <col min="13315" max="13315" width="3.88671875" style="323" customWidth="1"/>
    <col min="13316" max="13316" width="5.5546875" style="323" customWidth="1"/>
    <col min="13317" max="13317" width="44.33203125" style="323" customWidth="1"/>
    <col min="13318" max="13323" width="7.88671875" style="323" customWidth="1"/>
    <col min="13324" max="13324" width="5.77734375" style="323" customWidth="1"/>
    <col min="13325" max="13569" width="8.88671875" style="323"/>
    <col min="13570" max="13570" width="6.109375" style="323" customWidth="1"/>
    <col min="13571" max="13571" width="3.88671875" style="323" customWidth="1"/>
    <col min="13572" max="13572" width="5.5546875" style="323" customWidth="1"/>
    <col min="13573" max="13573" width="44.33203125" style="323" customWidth="1"/>
    <col min="13574" max="13579" width="7.88671875" style="323" customWidth="1"/>
    <col min="13580" max="13580" width="5.77734375" style="323" customWidth="1"/>
    <col min="13581" max="13825" width="8.88671875" style="323"/>
    <col min="13826" max="13826" width="6.109375" style="323" customWidth="1"/>
    <col min="13827" max="13827" width="3.88671875" style="323" customWidth="1"/>
    <col min="13828" max="13828" width="5.5546875" style="323" customWidth="1"/>
    <col min="13829" max="13829" width="44.33203125" style="323" customWidth="1"/>
    <col min="13830" max="13835" width="7.88671875" style="323" customWidth="1"/>
    <col min="13836" max="13836" width="5.77734375" style="323" customWidth="1"/>
    <col min="13837" max="14081" width="8.88671875" style="323"/>
    <col min="14082" max="14082" width="6.109375" style="323" customWidth="1"/>
    <col min="14083" max="14083" width="3.88671875" style="323" customWidth="1"/>
    <col min="14084" max="14084" width="5.5546875" style="323" customWidth="1"/>
    <col min="14085" max="14085" width="44.33203125" style="323" customWidth="1"/>
    <col min="14086" max="14091" width="7.88671875" style="323" customWidth="1"/>
    <col min="14092" max="14092" width="5.77734375" style="323" customWidth="1"/>
    <col min="14093" max="14337" width="8.88671875" style="323"/>
    <col min="14338" max="14338" width="6.109375" style="323" customWidth="1"/>
    <col min="14339" max="14339" width="3.88671875" style="323" customWidth="1"/>
    <col min="14340" max="14340" width="5.5546875" style="323" customWidth="1"/>
    <col min="14341" max="14341" width="44.33203125" style="323" customWidth="1"/>
    <col min="14342" max="14347" width="7.88671875" style="323" customWidth="1"/>
    <col min="14348" max="14348" width="5.77734375" style="323" customWidth="1"/>
    <col min="14349" max="14593" width="8.88671875" style="323"/>
    <col min="14594" max="14594" width="6.109375" style="323" customWidth="1"/>
    <col min="14595" max="14595" width="3.88671875" style="323" customWidth="1"/>
    <col min="14596" max="14596" width="5.5546875" style="323" customWidth="1"/>
    <col min="14597" max="14597" width="44.33203125" style="323" customWidth="1"/>
    <col min="14598" max="14603" width="7.88671875" style="323" customWidth="1"/>
    <col min="14604" max="14604" width="5.77734375" style="323" customWidth="1"/>
    <col min="14605" max="14849" width="8.88671875" style="323"/>
    <col min="14850" max="14850" width="6.109375" style="323" customWidth="1"/>
    <col min="14851" max="14851" width="3.88671875" style="323" customWidth="1"/>
    <col min="14852" max="14852" width="5.5546875" style="323" customWidth="1"/>
    <col min="14853" max="14853" width="44.33203125" style="323" customWidth="1"/>
    <col min="14854" max="14859" width="7.88671875" style="323" customWidth="1"/>
    <col min="14860" max="14860" width="5.77734375" style="323" customWidth="1"/>
    <col min="14861" max="15105" width="8.88671875" style="323"/>
    <col min="15106" max="15106" width="6.109375" style="323" customWidth="1"/>
    <col min="15107" max="15107" width="3.88671875" style="323" customWidth="1"/>
    <col min="15108" max="15108" width="5.5546875" style="323" customWidth="1"/>
    <col min="15109" max="15109" width="44.33203125" style="323" customWidth="1"/>
    <col min="15110" max="15115" width="7.88671875" style="323" customWidth="1"/>
    <col min="15116" max="15116" width="5.77734375" style="323" customWidth="1"/>
    <col min="15117" max="15361" width="8.88671875" style="323"/>
    <col min="15362" max="15362" width="6.109375" style="323" customWidth="1"/>
    <col min="15363" max="15363" width="3.88671875" style="323" customWidth="1"/>
    <col min="15364" max="15364" width="5.5546875" style="323" customWidth="1"/>
    <col min="15365" max="15365" width="44.33203125" style="323" customWidth="1"/>
    <col min="15366" max="15371" width="7.88671875" style="323" customWidth="1"/>
    <col min="15372" max="15372" width="5.77734375" style="323" customWidth="1"/>
    <col min="15373" max="15617" width="8.88671875" style="323"/>
    <col min="15618" max="15618" width="6.109375" style="323" customWidth="1"/>
    <col min="15619" max="15619" width="3.88671875" style="323" customWidth="1"/>
    <col min="15620" max="15620" width="5.5546875" style="323" customWidth="1"/>
    <col min="15621" max="15621" width="44.33203125" style="323" customWidth="1"/>
    <col min="15622" max="15627" width="7.88671875" style="323" customWidth="1"/>
    <col min="15628" max="15628" width="5.77734375" style="323" customWidth="1"/>
    <col min="15629" max="15873" width="8.88671875" style="323"/>
    <col min="15874" max="15874" width="6.109375" style="323" customWidth="1"/>
    <col min="15875" max="15875" width="3.88671875" style="323" customWidth="1"/>
    <col min="15876" max="15876" width="5.5546875" style="323" customWidth="1"/>
    <col min="15877" max="15877" width="44.33203125" style="323" customWidth="1"/>
    <col min="15878" max="15883" width="7.88671875" style="323" customWidth="1"/>
    <col min="15884" max="15884" width="5.77734375" style="323" customWidth="1"/>
    <col min="15885" max="16129" width="8.88671875" style="323"/>
    <col min="16130" max="16130" width="6.109375" style="323" customWidth="1"/>
    <col min="16131" max="16131" width="3.88671875" style="323" customWidth="1"/>
    <col min="16132" max="16132" width="5.5546875" style="323" customWidth="1"/>
    <col min="16133" max="16133" width="44.33203125" style="323" customWidth="1"/>
    <col min="16134" max="16139" width="7.88671875" style="323" customWidth="1"/>
    <col min="16140" max="16140" width="5.77734375" style="323" customWidth="1"/>
    <col min="16141" max="16384" width="8.88671875" style="323"/>
  </cols>
  <sheetData>
    <row r="1" spans="1:14" s="343" customFormat="1" ht="30" customHeight="1" thickBot="1">
      <c r="A1" s="349" t="s">
        <v>43</v>
      </c>
      <c r="B1" s="349"/>
      <c r="C1" s="349"/>
      <c r="D1" s="777"/>
      <c r="E1" s="349"/>
      <c r="F1" s="349"/>
      <c r="G1" s="349"/>
      <c r="H1" s="703"/>
      <c r="I1" s="778"/>
      <c r="J1" s="778"/>
      <c r="K1" s="778"/>
      <c r="L1" s="779"/>
      <c r="M1" s="342"/>
      <c r="N1" s="342"/>
    </row>
    <row r="2" spans="1:14" s="780" customFormat="1" ht="35.1" customHeight="1">
      <c r="A2" s="790" t="s">
        <v>141</v>
      </c>
      <c r="B2" s="755" t="s">
        <v>6</v>
      </c>
      <c r="C2" s="755" t="s">
        <v>149</v>
      </c>
      <c r="D2" s="755" t="s">
        <v>142</v>
      </c>
      <c r="E2" s="756" t="s">
        <v>143</v>
      </c>
      <c r="F2" s="757" t="s">
        <v>401</v>
      </c>
      <c r="G2" s="758" t="s">
        <v>117</v>
      </c>
      <c r="H2" s="710" t="s">
        <v>469</v>
      </c>
      <c r="I2" s="758" t="s">
        <v>115</v>
      </c>
      <c r="J2" s="758" t="s">
        <v>116</v>
      </c>
      <c r="K2" s="759" t="s">
        <v>144</v>
      </c>
      <c r="L2" s="760" t="s">
        <v>9</v>
      </c>
    </row>
    <row r="3" spans="1:14" s="784" customFormat="1" ht="35.1" customHeight="1">
      <c r="A3" s="781" t="s">
        <v>145</v>
      </c>
      <c r="B3" s="715">
        <v>1</v>
      </c>
      <c r="C3" s="715">
        <v>703</v>
      </c>
      <c r="D3" s="715" t="s">
        <v>128</v>
      </c>
      <c r="E3" s="762">
        <v>1</v>
      </c>
      <c r="F3" s="763">
        <v>1550</v>
      </c>
      <c r="G3" s="782">
        <v>2</v>
      </c>
      <c r="H3" s="764">
        <v>1</v>
      </c>
      <c r="I3" s="766">
        <f t="shared" ref="I3:I8" si="0">IF(F3&gt;=2000,1,IF(F3&gt;=1800,0.9,IF(F3&gt;=1600,0.8,IF(F3&gt;=1400,0.7,IF(F3&gt;=1200,0.6,0)))))</f>
        <v>0.7</v>
      </c>
      <c r="J3" s="766">
        <f t="shared" ref="J3:J8" si="1">IF(G3&gt;=5,1,IF(G3&gt;=4,0.9,IF(G3&gt;=3,0.8,IF(G3&gt;=2,0.7,IF(G3&gt;=1,0.6,0)))))</f>
        <v>0.7</v>
      </c>
      <c r="K3" s="767">
        <f>배점기준!$F$109*MAX(I3,J3)*E3*H3</f>
        <v>0.7</v>
      </c>
      <c r="L3" s="768"/>
    </row>
    <row r="4" spans="1:14" s="784" customFormat="1" ht="35.1" customHeight="1">
      <c r="A4" s="781" t="s">
        <v>145</v>
      </c>
      <c r="B4" s="715">
        <v>2</v>
      </c>
      <c r="C4" s="715">
        <v>701</v>
      </c>
      <c r="D4" s="715" t="s">
        <v>128</v>
      </c>
      <c r="E4" s="762">
        <v>1</v>
      </c>
      <c r="F4" s="763">
        <v>1660</v>
      </c>
      <c r="G4" s="782">
        <v>3</v>
      </c>
      <c r="H4" s="764">
        <v>0.6</v>
      </c>
      <c r="I4" s="766">
        <f t="shared" si="0"/>
        <v>0.8</v>
      </c>
      <c r="J4" s="766">
        <f t="shared" si="1"/>
        <v>0.8</v>
      </c>
      <c r="K4" s="767">
        <f>배점기준!$F$109*MAX(I4,J4)*E4*H4</f>
        <v>0.48</v>
      </c>
      <c r="L4" s="768"/>
    </row>
    <row r="5" spans="1:14" s="784" customFormat="1" ht="35.1" customHeight="1">
      <c r="A5" s="781" t="s">
        <v>145</v>
      </c>
      <c r="B5" s="715">
        <v>3</v>
      </c>
      <c r="C5" s="715">
        <v>800</v>
      </c>
      <c r="D5" s="715" t="s">
        <v>128</v>
      </c>
      <c r="E5" s="762">
        <v>1</v>
      </c>
      <c r="F5" s="763">
        <v>2001</v>
      </c>
      <c r="G5" s="782">
        <v>4</v>
      </c>
      <c r="H5" s="764">
        <v>0.6</v>
      </c>
      <c r="I5" s="766">
        <f t="shared" si="0"/>
        <v>1</v>
      </c>
      <c r="J5" s="766">
        <f t="shared" si="1"/>
        <v>0.9</v>
      </c>
      <c r="K5" s="767">
        <f>배점기준!$F$109*MAX(I5,J5)*E5*H5</f>
        <v>0.6</v>
      </c>
      <c r="L5" s="768"/>
    </row>
    <row r="6" spans="1:14" s="784" customFormat="1" ht="35.1" customHeight="1">
      <c r="A6" s="781" t="s">
        <v>145</v>
      </c>
      <c r="B6" s="715">
        <v>4</v>
      </c>
      <c r="C6" s="715">
        <v>258</v>
      </c>
      <c r="D6" s="715" t="s">
        <v>128</v>
      </c>
      <c r="E6" s="762">
        <v>1</v>
      </c>
      <c r="F6" s="763">
        <v>3500</v>
      </c>
      <c r="G6" s="782">
        <v>1</v>
      </c>
      <c r="H6" s="764">
        <v>1</v>
      </c>
      <c r="I6" s="766">
        <f t="shared" si="0"/>
        <v>1</v>
      </c>
      <c r="J6" s="766">
        <f t="shared" si="1"/>
        <v>0.6</v>
      </c>
      <c r="K6" s="767">
        <f>배점기준!$F$109*MAX(I6,J6)*E6*H6</f>
        <v>1</v>
      </c>
      <c r="L6" s="768"/>
    </row>
    <row r="7" spans="1:14" s="784" customFormat="1" ht="35.1" customHeight="1">
      <c r="A7" s="781" t="s">
        <v>145</v>
      </c>
      <c r="B7" s="715">
        <v>5</v>
      </c>
      <c r="C7" s="715">
        <v>704</v>
      </c>
      <c r="D7" s="715" t="s">
        <v>128</v>
      </c>
      <c r="E7" s="762">
        <v>1</v>
      </c>
      <c r="F7" s="763">
        <v>1050</v>
      </c>
      <c r="G7" s="782">
        <v>1</v>
      </c>
      <c r="H7" s="764">
        <v>1</v>
      </c>
      <c r="I7" s="766">
        <f t="shared" si="0"/>
        <v>0</v>
      </c>
      <c r="J7" s="766">
        <f t="shared" si="1"/>
        <v>0.6</v>
      </c>
      <c r="K7" s="767">
        <f>배점기준!$F$109*MAX(I7,J7)*E7*H7</f>
        <v>0.6</v>
      </c>
      <c r="L7" s="768"/>
    </row>
    <row r="8" spans="1:14" s="784" customFormat="1" ht="35.1" customHeight="1">
      <c r="A8" s="781" t="s">
        <v>145</v>
      </c>
      <c r="B8" s="715">
        <v>6</v>
      </c>
      <c r="C8" s="715">
        <v>700</v>
      </c>
      <c r="D8" s="715" t="s">
        <v>128</v>
      </c>
      <c r="E8" s="762">
        <v>1</v>
      </c>
      <c r="F8" s="763">
        <v>1300</v>
      </c>
      <c r="G8" s="782">
        <v>1</v>
      </c>
      <c r="H8" s="764">
        <v>1</v>
      </c>
      <c r="I8" s="766">
        <f t="shared" si="0"/>
        <v>0.6</v>
      </c>
      <c r="J8" s="766">
        <f t="shared" si="1"/>
        <v>0.6</v>
      </c>
      <c r="K8" s="767">
        <f>배점기준!$F$109*MAX(I8,J8)*E8*H8</f>
        <v>0.6</v>
      </c>
      <c r="L8" s="768"/>
    </row>
    <row r="9" spans="1:14" s="787" customFormat="1" ht="35.1" customHeight="1">
      <c r="A9" s="1251" t="s">
        <v>112</v>
      </c>
      <c r="B9" s="1252"/>
      <c r="C9" s="1252"/>
      <c r="D9" s="1252"/>
      <c r="E9" s="1252"/>
      <c r="F9" s="1252"/>
      <c r="G9" s="1252"/>
      <c r="H9" s="1252"/>
      <c r="I9" s="1252"/>
      <c r="J9" s="1253"/>
      <c r="K9" s="770">
        <f>SUM(K3:K8)</f>
        <v>3.98</v>
      </c>
      <c r="L9" s="771"/>
    </row>
    <row r="10" spans="1:14" s="787" customFormat="1" ht="35.1" customHeight="1">
      <c r="A10" s="761" t="s">
        <v>146</v>
      </c>
      <c r="B10" s="715">
        <v>7</v>
      </c>
      <c r="C10" s="715">
        <v>652</v>
      </c>
      <c r="D10" s="715" t="s">
        <v>129</v>
      </c>
      <c r="E10" s="762">
        <v>1</v>
      </c>
      <c r="F10" s="763">
        <v>110</v>
      </c>
      <c r="G10" s="763">
        <v>1</v>
      </c>
      <c r="H10" s="773">
        <v>1</v>
      </c>
      <c r="I10" s="766">
        <f>IF(F10&gt;=2000,1,IF(F10&gt;=1800,0.9,IF(F10&gt;=1600,0.8,IF(F10&gt;=1400,0.7,IF(F10&gt;=1200,0.6,0)))))</f>
        <v>0</v>
      </c>
      <c r="J10" s="766">
        <f>IF(G10&gt;=5,1,IF(G10&gt;=4,0.9,IF(G10&gt;=3,0.8,IF(G10&gt;=2,0.7,IF(G10&gt;=1,0.6,0)))))</f>
        <v>0.6</v>
      </c>
      <c r="K10" s="767">
        <f>배점기준!$G$109*MAX(I10,J10)*E10*H10</f>
        <v>0.36</v>
      </c>
      <c r="L10" s="768"/>
    </row>
    <row r="11" spans="1:14" s="787" customFormat="1" ht="35.1" customHeight="1">
      <c r="A11" s="761" t="s">
        <v>146</v>
      </c>
      <c r="B11" s="715">
        <v>8</v>
      </c>
      <c r="C11" s="715">
        <v>682</v>
      </c>
      <c r="D11" s="715" t="s">
        <v>129</v>
      </c>
      <c r="E11" s="762">
        <v>0.6</v>
      </c>
      <c r="F11" s="763">
        <v>1450</v>
      </c>
      <c r="G11" s="763">
        <v>1</v>
      </c>
      <c r="H11" s="773">
        <v>0.6</v>
      </c>
      <c r="I11" s="766">
        <f>IF(F11&gt;=2000,1,IF(F11&gt;=1800,0.9,IF(F11&gt;=1600,0.8,IF(F11&gt;=1400,0.7,IF(F11&gt;=1200,0.6,0)))))</f>
        <v>0.7</v>
      </c>
      <c r="J11" s="766">
        <f>IF(G11&gt;=5,1,IF(G11&gt;=4,0.9,IF(G11&gt;=3,0.8,IF(G11&gt;=2,0.7,IF(G11&gt;=1,0.6,0)))))</f>
        <v>0.6</v>
      </c>
      <c r="K11" s="767">
        <f>배점기준!$G$109*MAX(I11,J11)*E11*H11</f>
        <v>0.1512</v>
      </c>
      <c r="L11" s="768"/>
    </row>
    <row r="12" spans="1:14" s="787" customFormat="1" ht="35.1" customHeight="1">
      <c r="A12" s="1254" t="s">
        <v>147</v>
      </c>
      <c r="B12" s="1255"/>
      <c r="C12" s="1255"/>
      <c r="D12" s="1255"/>
      <c r="E12" s="1255"/>
      <c r="F12" s="1255"/>
      <c r="G12" s="1255"/>
      <c r="H12" s="1255"/>
      <c r="I12" s="1255"/>
      <c r="J12" s="1255"/>
      <c r="K12" s="770">
        <f>SUM(K10:K11)</f>
        <v>0.51119999999999999</v>
      </c>
      <c r="L12" s="771"/>
    </row>
    <row r="13" spans="1:14" s="784" customFormat="1" ht="35.1" customHeight="1">
      <c r="A13" s="714" t="s">
        <v>113</v>
      </c>
      <c r="B13" s="715">
        <v>9</v>
      </c>
      <c r="C13" s="715">
        <v>254</v>
      </c>
      <c r="D13" s="715" t="s">
        <v>130</v>
      </c>
      <c r="E13" s="762">
        <v>1</v>
      </c>
      <c r="F13" s="763">
        <v>1200</v>
      </c>
      <c r="G13" s="763">
        <v>2</v>
      </c>
      <c r="H13" s="791">
        <v>1</v>
      </c>
      <c r="I13" s="766">
        <f>IF(F13&gt;=2000,1,IF(F13&gt;=1800,0.9,IF(F13&gt;=1600,0.8,IF(F13&gt;=1400,0.7,IF(F13&gt;=1200,0.6,0)))))</f>
        <v>0.6</v>
      </c>
      <c r="J13" s="766">
        <f>IF(G13&gt;=5,1,IF(G13&gt;=4,0.9,IF(G13&gt;=3,0.8,IF(G13&gt;=2,0.7,IF(G13&gt;=1,0.6,0)))))</f>
        <v>0.7</v>
      </c>
      <c r="K13" s="767">
        <f>배점기준!$H$109*MAX(I13,J13)*E13*H13</f>
        <v>0.21</v>
      </c>
      <c r="L13" s="768"/>
    </row>
    <row r="14" spans="1:14" s="787" customFormat="1" ht="35.1" customHeight="1">
      <c r="A14" s="714" t="s">
        <v>113</v>
      </c>
      <c r="B14" s="715">
        <v>10</v>
      </c>
      <c r="C14" s="715">
        <v>268</v>
      </c>
      <c r="D14" s="715" t="s">
        <v>130</v>
      </c>
      <c r="E14" s="762">
        <v>0.8</v>
      </c>
      <c r="F14" s="763">
        <v>1450</v>
      </c>
      <c r="G14" s="763">
        <v>1</v>
      </c>
      <c r="H14" s="791">
        <v>1</v>
      </c>
      <c r="I14" s="766">
        <f>IF(F14&gt;=2000,1,IF(F14&gt;=1800,0.9,IF(F14&gt;=1600,0.8,IF(F14&gt;=1400,0.7,IF(F14&gt;=1200,0.6,0)))))</f>
        <v>0.7</v>
      </c>
      <c r="J14" s="766">
        <f>IF(G14&gt;=5,1,IF(G14&gt;=4,0.9,IF(G14&gt;=3,0.8,IF(G14&gt;=2,0.7,IF(G14&gt;=1,0.6,0)))))</f>
        <v>0.6</v>
      </c>
      <c r="K14" s="767">
        <f>배점기준!$H$109*MAX(I14,J14)*E14*H14</f>
        <v>0.16800000000000001</v>
      </c>
      <c r="L14" s="768"/>
    </row>
    <row r="15" spans="1:14" s="787" customFormat="1" ht="35.1" customHeight="1" thickBot="1">
      <c r="A15" s="1256" t="s">
        <v>148</v>
      </c>
      <c r="B15" s="1257"/>
      <c r="C15" s="1257"/>
      <c r="D15" s="1257"/>
      <c r="E15" s="1257"/>
      <c r="F15" s="1257"/>
      <c r="G15" s="1257"/>
      <c r="H15" s="1257"/>
      <c r="I15" s="1257"/>
      <c r="J15" s="1257"/>
      <c r="K15" s="774">
        <f>SUM(K13:K14)</f>
        <v>0.378</v>
      </c>
      <c r="L15" s="775"/>
    </row>
    <row r="16" spans="1:14" s="784" customFormat="1" ht="35.1" customHeight="1">
      <c r="A16" s="714" t="s">
        <v>456</v>
      </c>
      <c r="B16" s="715">
        <v>11</v>
      </c>
      <c r="C16" s="715">
        <v>254</v>
      </c>
      <c r="D16" s="715" t="s">
        <v>457</v>
      </c>
      <c r="E16" s="762">
        <v>1</v>
      </c>
      <c r="F16" s="763">
        <v>1200</v>
      </c>
      <c r="G16" s="763">
        <v>2</v>
      </c>
      <c r="H16" s="791">
        <v>1</v>
      </c>
      <c r="I16" s="766">
        <f>IF(F16&gt;=2000,1,IF(F16&gt;=1800,0.9,IF(F16&gt;=1600,0.8,IF(F16&gt;=1400,0.7,IF(F16&gt;=1200,0.6,0)))))</f>
        <v>0.6</v>
      </c>
      <c r="J16" s="766">
        <f>IF(G16&gt;=5,1,IF(G16&gt;=4,0.9,IF(G16&gt;=3,0.8,IF(G16&gt;=2,0.7,IF(G16&gt;=1,0.6,0)))))</f>
        <v>0.7</v>
      </c>
      <c r="K16" s="767">
        <f>배점기준!$F$109*MAX(I16,J16)*E16*H16</f>
        <v>0.7</v>
      </c>
      <c r="L16" s="768"/>
    </row>
    <row r="17" spans="1:12" s="787" customFormat="1" ht="35.1" customHeight="1">
      <c r="A17" s="714" t="s">
        <v>456</v>
      </c>
      <c r="B17" s="715">
        <v>12</v>
      </c>
      <c r="C17" s="715">
        <v>268</v>
      </c>
      <c r="D17" s="715" t="s">
        <v>457</v>
      </c>
      <c r="E17" s="762">
        <v>0.8</v>
      </c>
      <c r="F17" s="763">
        <v>1450</v>
      </c>
      <c r="G17" s="763">
        <v>1</v>
      </c>
      <c r="H17" s="791">
        <v>0.6</v>
      </c>
      <c r="I17" s="766">
        <f>IF(F17&gt;=2000,1,IF(F17&gt;=1800,0.9,IF(F17&gt;=1600,0.8,IF(F17&gt;=1400,0.7,IF(F17&gt;=1200,0.6,0)))))</f>
        <v>0.7</v>
      </c>
      <c r="J17" s="766">
        <f>IF(G17&gt;=5,1,IF(G17&gt;=4,0.9,IF(G17&gt;=3,0.8,IF(G17&gt;=2,0.7,IF(G17&gt;=1,0.6,0)))))</f>
        <v>0.6</v>
      </c>
      <c r="K17" s="767">
        <f>배점기준!$F$109*MAX(I17,J17)*E17*H17</f>
        <v>0.33599999999999997</v>
      </c>
      <c r="L17" s="768"/>
    </row>
    <row r="18" spans="1:12" s="787" customFormat="1" ht="35.1" customHeight="1" thickBot="1">
      <c r="A18" s="1256" t="s">
        <v>466</v>
      </c>
      <c r="B18" s="1257"/>
      <c r="C18" s="1257"/>
      <c r="D18" s="1257"/>
      <c r="E18" s="1257"/>
      <c r="F18" s="1257"/>
      <c r="G18" s="1257"/>
      <c r="H18" s="1257"/>
      <c r="I18" s="1257"/>
      <c r="J18" s="1257"/>
      <c r="K18" s="774">
        <f>SUM(K16:K17)</f>
        <v>1.036</v>
      </c>
      <c r="L18" s="775"/>
    </row>
    <row r="19" spans="1:12" ht="15" customHeight="1">
      <c r="A19" s="792"/>
      <c r="B19" s="792"/>
      <c r="C19" s="793"/>
      <c r="K19" s="737"/>
    </row>
    <row r="20" spans="1:12" ht="15" customHeight="1">
      <c r="A20" s="323"/>
      <c r="B20" s="323"/>
      <c r="C20" s="776"/>
      <c r="K20" s="737"/>
    </row>
    <row r="21" spans="1:12" ht="15" customHeight="1">
      <c r="A21" s="323"/>
      <c r="B21" s="323"/>
      <c r="C21" s="776"/>
      <c r="K21" s="737"/>
    </row>
    <row r="22" spans="1:12" ht="15" customHeight="1">
      <c r="E22" s="320"/>
      <c r="F22" s="320"/>
      <c r="G22" s="320"/>
      <c r="I22" s="739"/>
      <c r="J22" s="739"/>
      <c r="K22" s="335"/>
    </row>
    <row r="23" spans="1:12" ht="15" customHeight="1">
      <c r="E23" s="320"/>
      <c r="F23" s="320"/>
      <c r="G23" s="320"/>
      <c r="H23" s="320"/>
      <c r="I23" s="739"/>
      <c r="J23" s="739"/>
      <c r="K23" s="335"/>
    </row>
    <row r="24" spans="1:12" ht="15" customHeight="1">
      <c r="E24" s="320"/>
      <c r="F24" s="789"/>
      <c r="G24" s="320"/>
      <c r="H24" s="320"/>
      <c r="I24" s="739"/>
      <c r="J24" s="739"/>
      <c r="K24" s="335"/>
    </row>
    <row r="25" spans="1:12" ht="15" customHeight="1">
      <c r="E25" s="320"/>
      <c r="F25" s="320"/>
      <c r="G25" s="320"/>
      <c r="H25" s="320"/>
      <c r="I25" s="739"/>
      <c r="J25" s="739"/>
      <c r="K25" s="335"/>
    </row>
    <row r="26" spans="1:12" ht="15" customHeight="1">
      <c r="E26" s="320"/>
      <c r="F26" s="320"/>
      <c r="G26" s="320"/>
      <c r="H26" s="320"/>
      <c r="I26" s="739"/>
      <c r="J26" s="739"/>
      <c r="K26" s="335"/>
    </row>
    <row r="27" spans="1:12" ht="12" customHeight="1">
      <c r="E27" s="320"/>
      <c r="F27" s="320"/>
      <c r="G27" s="320"/>
      <c r="H27" s="320"/>
      <c r="I27" s="739"/>
      <c r="J27" s="739"/>
      <c r="K27" s="335"/>
    </row>
    <row r="28" spans="1:12" ht="12" customHeight="1">
      <c r="E28" s="320"/>
      <c r="F28" s="320"/>
      <c r="G28" s="320"/>
      <c r="H28" s="320"/>
      <c r="I28" s="739"/>
      <c r="J28" s="739"/>
      <c r="K28" s="335"/>
    </row>
    <row r="29" spans="1:12" ht="12" customHeight="1">
      <c r="E29" s="320"/>
      <c r="F29" s="320"/>
      <c r="G29" s="320"/>
      <c r="H29" s="320"/>
      <c r="I29" s="739"/>
      <c r="J29" s="739"/>
      <c r="K29" s="335"/>
    </row>
    <row r="30" spans="1:12" ht="12" customHeight="1">
      <c r="E30" s="320"/>
      <c r="F30" s="320"/>
      <c r="G30" s="320"/>
      <c r="H30" s="320"/>
      <c r="I30" s="739"/>
      <c r="J30" s="739"/>
      <c r="K30" s="335"/>
    </row>
    <row r="31" spans="1:12" ht="12" customHeight="1">
      <c r="E31" s="320"/>
      <c r="F31" s="320"/>
      <c r="G31" s="320"/>
      <c r="H31" s="320"/>
      <c r="I31" s="739"/>
      <c r="J31" s="739"/>
      <c r="K31" s="335"/>
    </row>
    <row r="32" spans="1:12" ht="12" customHeight="1">
      <c r="E32" s="320"/>
      <c r="F32" s="320"/>
      <c r="G32" s="320"/>
      <c r="H32" s="320"/>
      <c r="I32" s="739"/>
      <c r="J32" s="739"/>
      <c r="K32" s="335"/>
    </row>
    <row r="33" spans="5:11" ht="12" customHeight="1">
      <c r="E33" s="320"/>
      <c r="F33" s="320"/>
      <c r="G33" s="320"/>
      <c r="H33" s="320"/>
      <c r="I33" s="739"/>
      <c r="J33" s="739"/>
      <c r="K33" s="335"/>
    </row>
    <row r="34" spans="5:11" ht="12" customHeight="1">
      <c r="E34" s="320"/>
      <c r="F34" s="320"/>
      <c r="G34" s="320"/>
      <c r="H34" s="320"/>
      <c r="I34" s="739"/>
      <c r="J34" s="739"/>
      <c r="K34" s="335"/>
    </row>
    <row r="35" spans="5:11" ht="12" customHeight="1">
      <c r="E35" s="320"/>
      <c r="F35" s="320"/>
      <c r="G35" s="320"/>
      <c r="H35" s="320"/>
      <c r="I35" s="739"/>
      <c r="J35" s="739"/>
      <c r="K35" s="335"/>
    </row>
    <row r="36" spans="5:11" ht="12" customHeight="1">
      <c r="E36" s="320"/>
      <c r="F36" s="320"/>
      <c r="G36" s="320"/>
      <c r="H36" s="320"/>
      <c r="I36" s="739"/>
      <c r="J36" s="739"/>
      <c r="K36" s="335"/>
    </row>
    <row r="37" spans="5:11" ht="12" customHeight="1">
      <c r="E37" s="320"/>
      <c r="F37" s="320"/>
      <c r="G37" s="320"/>
      <c r="H37" s="320"/>
      <c r="I37" s="739"/>
      <c r="J37" s="739"/>
      <c r="K37" s="335"/>
    </row>
    <row r="38" spans="5:11" ht="12" customHeight="1">
      <c r="E38" s="320"/>
      <c r="F38" s="320"/>
      <c r="G38" s="320"/>
      <c r="H38" s="320"/>
      <c r="I38" s="739"/>
      <c r="J38" s="739"/>
      <c r="K38" s="335"/>
    </row>
    <row r="39" spans="5:11" ht="12" customHeight="1">
      <c r="E39" s="320"/>
      <c r="F39" s="320"/>
      <c r="G39" s="320"/>
      <c r="H39" s="320"/>
      <c r="I39" s="739"/>
      <c r="J39" s="739"/>
      <c r="K39" s="335"/>
    </row>
    <row r="40" spans="5:11" ht="12" customHeight="1">
      <c r="E40" s="320"/>
      <c r="F40" s="320"/>
      <c r="G40" s="320"/>
      <c r="H40" s="320"/>
      <c r="I40" s="739"/>
      <c r="J40" s="739"/>
      <c r="K40" s="335"/>
    </row>
    <row r="41" spans="5:11" ht="12" customHeight="1">
      <c r="E41" s="320"/>
      <c r="F41" s="320"/>
      <c r="G41" s="320"/>
      <c r="H41" s="320"/>
      <c r="I41" s="739"/>
      <c r="J41" s="739"/>
      <c r="K41" s="335"/>
    </row>
    <row r="42" spans="5:11" ht="12" customHeight="1">
      <c r="E42" s="320"/>
      <c r="F42" s="320"/>
      <c r="G42" s="320"/>
      <c r="H42" s="320"/>
      <c r="I42" s="739"/>
      <c r="J42" s="739"/>
      <c r="K42" s="335"/>
    </row>
    <row r="43" spans="5:11" ht="12" customHeight="1">
      <c r="E43" s="320"/>
      <c r="F43" s="320"/>
      <c r="G43" s="320"/>
      <c r="H43" s="320"/>
      <c r="I43" s="739"/>
      <c r="J43" s="739"/>
      <c r="K43" s="335"/>
    </row>
    <row r="44" spans="5:11" ht="12" customHeight="1">
      <c r="E44" s="320"/>
      <c r="F44" s="320"/>
      <c r="G44" s="320"/>
      <c r="H44" s="320"/>
      <c r="I44" s="739"/>
      <c r="J44" s="739"/>
      <c r="K44" s="335"/>
    </row>
    <row r="45" spans="5:11" ht="12" customHeight="1">
      <c r="E45" s="320"/>
      <c r="F45" s="320"/>
      <c r="G45" s="320"/>
      <c r="H45" s="320"/>
      <c r="I45" s="739"/>
      <c r="J45" s="739"/>
      <c r="K45" s="335"/>
    </row>
    <row r="46" spans="5:11" ht="12" customHeight="1">
      <c r="E46" s="320"/>
      <c r="F46" s="320"/>
      <c r="G46" s="320"/>
      <c r="H46" s="320"/>
      <c r="I46" s="739"/>
      <c r="J46" s="739"/>
      <c r="K46" s="335"/>
    </row>
    <row r="47" spans="5:11" ht="12" customHeight="1">
      <c r="E47" s="320"/>
      <c r="F47" s="320"/>
      <c r="G47" s="320"/>
      <c r="H47" s="320"/>
      <c r="I47" s="739"/>
      <c r="J47" s="739"/>
      <c r="K47" s="335"/>
    </row>
    <row r="48" spans="5:11" ht="12" customHeight="1">
      <c r="E48" s="320"/>
      <c r="F48" s="320"/>
      <c r="G48" s="320"/>
      <c r="H48" s="320"/>
      <c r="I48" s="739"/>
      <c r="J48" s="739"/>
      <c r="K48" s="335"/>
    </row>
    <row r="49" spans="5:11" ht="12" customHeight="1">
      <c r="E49" s="320"/>
      <c r="F49" s="320"/>
      <c r="G49" s="320"/>
      <c r="H49" s="320"/>
      <c r="I49" s="739"/>
      <c r="J49" s="739"/>
      <c r="K49" s="335"/>
    </row>
    <row r="50" spans="5:11" ht="12" customHeight="1">
      <c r="E50" s="320"/>
      <c r="F50" s="320"/>
      <c r="G50" s="320"/>
      <c r="H50" s="320"/>
      <c r="I50" s="739"/>
      <c r="J50" s="739"/>
      <c r="K50" s="335"/>
    </row>
    <row r="51" spans="5:11" ht="12" customHeight="1">
      <c r="E51" s="320"/>
      <c r="F51" s="320"/>
      <c r="G51" s="320"/>
      <c r="H51" s="320"/>
      <c r="I51" s="739"/>
      <c r="J51" s="739"/>
      <c r="K51" s="335"/>
    </row>
    <row r="52" spans="5:11" ht="12" customHeight="1">
      <c r="E52" s="320"/>
      <c r="F52" s="320"/>
      <c r="G52" s="320"/>
      <c r="H52" s="320"/>
      <c r="I52" s="739"/>
      <c r="J52" s="739"/>
      <c r="K52" s="335"/>
    </row>
    <row r="53" spans="5:11" ht="12" customHeight="1">
      <c r="E53" s="320"/>
      <c r="F53" s="320"/>
      <c r="G53" s="320"/>
      <c r="H53" s="320"/>
      <c r="I53" s="739"/>
      <c r="J53" s="739"/>
      <c r="K53" s="335"/>
    </row>
    <row r="54" spans="5:11" ht="12" customHeight="1">
      <c r="E54" s="320"/>
      <c r="F54" s="320"/>
      <c r="G54" s="320"/>
      <c r="H54" s="320"/>
      <c r="I54" s="739"/>
      <c r="J54" s="739"/>
      <c r="K54" s="335"/>
    </row>
    <row r="55" spans="5:11" ht="12" customHeight="1">
      <c r="E55" s="320"/>
      <c r="F55" s="320"/>
      <c r="G55" s="320"/>
      <c r="H55" s="320"/>
      <c r="I55" s="739"/>
      <c r="J55" s="739"/>
      <c r="K55" s="335"/>
    </row>
    <row r="56" spans="5:11" ht="12" customHeight="1">
      <c r="E56" s="320"/>
      <c r="F56" s="320"/>
      <c r="G56" s="320"/>
      <c r="H56" s="320"/>
      <c r="I56" s="739"/>
      <c r="J56" s="739"/>
      <c r="K56" s="335"/>
    </row>
    <row r="57" spans="5:11" ht="12" customHeight="1">
      <c r="E57" s="320"/>
      <c r="F57" s="320"/>
      <c r="G57" s="320"/>
      <c r="H57" s="320"/>
      <c r="I57" s="739"/>
      <c r="J57" s="739"/>
      <c r="K57" s="335"/>
    </row>
    <row r="58" spans="5:11" ht="12" customHeight="1">
      <c r="E58" s="320"/>
      <c r="F58" s="320"/>
      <c r="G58" s="320"/>
      <c r="H58" s="320"/>
      <c r="I58" s="739"/>
      <c r="J58" s="739"/>
      <c r="K58" s="335"/>
    </row>
    <row r="59" spans="5:11" ht="12" customHeight="1">
      <c r="E59" s="320"/>
      <c r="F59" s="320"/>
      <c r="G59" s="320"/>
      <c r="H59" s="320"/>
      <c r="I59" s="739"/>
      <c r="J59" s="739"/>
      <c r="K59" s="335"/>
    </row>
    <row r="60" spans="5:11" ht="12" customHeight="1">
      <c r="E60" s="320"/>
      <c r="F60" s="320"/>
      <c r="G60" s="320"/>
      <c r="H60" s="320"/>
      <c r="I60" s="739"/>
      <c r="J60" s="739"/>
      <c r="K60" s="335"/>
    </row>
    <row r="61" spans="5:11" ht="12" customHeight="1">
      <c r="E61" s="320"/>
      <c r="F61" s="320"/>
      <c r="G61" s="320"/>
      <c r="H61" s="320"/>
      <c r="I61" s="739"/>
      <c r="J61" s="739"/>
      <c r="K61" s="335"/>
    </row>
    <row r="62" spans="5:11" ht="12" customHeight="1">
      <c r="E62" s="320"/>
      <c r="F62" s="320"/>
      <c r="G62" s="320"/>
      <c r="H62" s="320"/>
      <c r="I62" s="739"/>
      <c r="J62" s="739"/>
      <c r="K62" s="335"/>
    </row>
    <row r="63" spans="5:11" ht="12" customHeight="1">
      <c r="E63" s="320"/>
      <c r="F63" s="320"/>
      <c r="G63" s="320"/>
      <c r="H63" s="320"/>
      <c r="I63" s="739"/>
      <c r="J63" s="739"/>
      <c r="K63" s="335"/>
    </row>
    <row r="64" spans="5:11" ht="12" customHeight="1">
      <c r="E64" s="320"/>
      <c r="F64" s="320"/>
      <c r="G64" s="320"/>
      <c r="H64" s="320"/>
      <c r="I64" s="739"/>
      <c r="J64" s="739"/>
      <c r="K64" s="335"/>
    </row>
    <row r="65" spans="5:11" ht="12" customHeight="1">
      <c r="E65" s="320"/>
      <c r="F65" s="320"/>
      <c r="G65" s="320"/>
      <c r="H65" s="320"/>
      <c r="I65" s="739"/>
      <c r="J65" s="739"/>
      <c r="K65" s="335"/>
    </row>
    <row r="66" spans="5:11" ht="12" customHeight="1">
      <c r="E66" s="320"/>
      <c r="F66" s="320"/>
      <c r="G66" s="320"/>
      <c r="H66" s="320"/>
      <c r="I66" s="739"/>
      <c r="J66" s="739"/>
      <c r="K66" s="335"/>
    </row>
    <row r="67" spans="5:11" ht="12" customHeight="1">
      <c r="E67" s="320"/>
      <c r="F67" s="320"/>
      <c r="G67" s="320"/>
      <c r="H67" s="320"/>
      <c r="I67" s="739"/>
      <c r="J67" s="739"/>
      <c r="K67" s="335"/>
    </row>
    <row r="68" spans="5:11" ht="12" customHeight="1">
      <c r="E68" s="320"/>
      <c r="F68" s="320"/>
      <c r="G68" s="320"/>
      <c r="H68" s="320"/>
      <c r="I68" s="739"/>
      <c r="J68" s="739"/>
      <c r="K68" s="335"/>
    </row>
    <row r="69" spans="5:11" ht="12" customHeight="1">
      <c r="E69" s="320"/>
      <c r="F69" s="320"/>
      <c r="G69" s="320"/>
      <c r="H69" s="320"/>
      <c r="I69" s="739"/>
      <c r="J69" s="739"/>
      <c r="K69" s="335"/>
    </row>
    <row r="70" spans="5:11" ht="12" customHeight="1">
      <c r="E70" s="320"/>
      <c r="F70" s="320"/>
      <c r="G70" s="320"/>
      <c r="H70" s="320"/>
      <c r="I70" s="739"/>
      <c r="J70" s="739"/>
      <c r="K70" s="335"/>
    </row>
    <row r="71" spans="5:11" ht="12" customHeight="1">
      <c r="E71" s="320"/>
      <c r="F71" s="320"/>
      <c r="G71" s="320"/>
      <c r="H71" s="320"/>
      <c r="I71" s="739"/>
      <c r="J71" s="739"/>
      <c r="K71" s="335"/>
    </row>
    <row r="72" spans="5:11" ht="12" customHeight="1">
      <c r="E72" s="320"/>
      <c r="F72" s="320"/>
      <c r="G72" s="320"/>
      <c r="H72" s="320"/>
      <c r="I72" s="739"/>
      <c r="J72" s="739"/>
      <c r="K72" s="335"/>
    </row>
    <row r="73" spans="5:11" ht="12" customHeight="1">
      <c r="E73" s="320"/>
      <c r="F73" s="320"/>
      <c r="G73" s="320"/>
      <c r="H73" s="320"/>
      <c r="I73" s="739"/>
      <c r="J73" s="739"/>
      <c r="K73" s="335"/>
    </row>
    <row r="74" spans="5:11" ht="12" customHeight="1">
      <c r="E74" s="320"/>
      <c r="F74" s="320"/>
      <c r="G74" s="320"/>
      <c r="H74" s="320"/>
      <c r="I74" s="739"/>
      <c r="J74" s="739"/>
      <c r="K74" s="335"/>
    </row>
    <row r="75" spans="5:11" ht="12" customHeight="1">
      <c r="E75" s="320"/>
      <c r="F75" s="320"/>
      <c r="G75" s="320"/>
      <c r="H75" s="320"/>
      <c r="I75" s="739"/>
      <c r="J75" s="739"/>
      <c r="K75" s="335"/>
    </row>
    <row r="76" spans="5:11" ht="12" customHeight="1">
      <c r="E76" s="320"/>
      <c r="F76" s="320"/>
      <c r="G76" s="320"/>
      <c r="H76" s="320"/>
      <c r="I76" s="739"/>
      <c r="J76" s="739"/>
      <c r="K76" s="335"/>
    </row>
    <row r="77" spans="5:11" ht="12" customHeight="1">
      <c r="E77" s="320"/>
      <c r="F77" s="320"/>
      <c r="G77" s="320"/>
      <c r="H77" s="320"/>
      <c r="I77" s="739"/>
      <c r="J77" s="739"/>
      <c r="K77" s="335"/>
    </row>
    <row r="78" spans="5:11" ht="12" customHeight="1">
      <c r="E78" s="320"/>
      <c r="F78" s="320"/>
      <c r="G78" s="320"/>
      <c r="H78" s="320"/>
      <c r="I78" s="739"/>
      <c r="J78" s="739"/>
      <c r="K78" s="335"/>
    </row>
    <row r="79" spans="5:11" ht="12" customHeight="1">
      <c r="E79" s="320"/>
      <c r="F79" s="320"/>
      <c r="G79" s="320"/>
      <c r="H79" s="320"/>
      <c r="I79" s="739"/>
      <c r="J79" s="739"/>
      <c r="K79" s="335"/>
    </row>
    <row r="80" spans="5:11" ht="12" customHeight="1">
      <c r="E80" s="320"/>
      <c r="F80" s="320"/>
      <c r="G80" s="320"/>
      <c r="H80" s="320"/>
      <c r="I80" s="739"/>
      <c r="J80" s="739"/>
      <c r="K80" s="335"/>
    </row>
    <row r="81" spans="5:11" ht="12" customHeight="1">
      <c r="E81" s="320"/>
      <c r="F81" s="320"/>
      <c r="G81" s="320"/>
      <c r="H81" s="320"/>
      <c r="I81" s="739"/>
      <c r="J81" s="739"/>
      <c r="K81" s="335"/>
    </row>
    <row r="82" spans="5:11" ht="12" customHeight="1">
      <c r="E82" s="320"/>
      <c r="F82" s="320"/>
      <c r="G82" s="320"/>
      <c r="H82" s="320"/>
      <c r="I82" s="739"/>
      <c r="J82" s="739"/>
      <c r="K82" s="335"/>
    </row>
    <row r="83" spans="5:11" ht="12" customHeight="1">
      <c r="E83" s="320"/>
      <c r="F83" s="320"/>
      <c r="G83" s="320"/>
      <c r="H83" s="320"/>
      <c r="I83" s="739"/>
      <c r="J83" s="739"/>
      <c r="K83" s="335"/>
    </row>
    <row r="84" spans="5:11" ht="12" customHeight="1">
      <c r="E84" s="320"/>
      <c r="F84" s="320"/>
      <c r="G84" s="320"/>
      <c r="H84" s="320"/>
      <c r="I84" s="739"/>
      <c r="J84" s="739"/>
      <c r="K84" s="335"/>
    </row>
    <row r="85" spans="5:11" ht="12" customHeight="1">
      <c r="E85" s="320"/>
      <c r="F85" s="320"/>
      <c r="G85" s="320"/>
      <c r="H85" s="320"/>
      <c r="I85" s="739"/>
      <c r="J85" s="739"/>
      <c r="K85" s="335"/>
    </row>
    <row r="86" spans="5:11" ht="12" customHeight="1">
      <c r="E86" s="320"/>
      <c r="F86" s="320"/>
      <c r="G86" s="320"/>
      <c r="H86" s="320"/>
      <c r="I86" s="739"/>
      <c r="J86" s="739"/>
      <c r="K86" s="335"/>
    </row>
    <row r="87" spans="5:11" ht="12" customHeight="1">
      <c r="E87" s="320"/>
      <c r="F87" s="320"/>
      <c r="G87" s="320"/>
      <c r="H87" s="320"/>
      <c r="I87" s="739"/>
      <c r="J87" s="739"/>
      <c r="K87" s="335"/>
    </row>
    <row r="88" spans="5:11" ht="12" customHeight="1">
      <c r="E88" s="320"/>
      <c r="F88" s="320"/>
      <c r="G88" s="320"/>
      <c r="H88" s="320"/>
      <c r="I88" s="739"/>
      <c r="J88" s="739"/>
      <c r="K88" s="335"/>
    </row>
    <row r="89" spans="5:11" ht="12" customHeight="1">
      <c r="E89" s="320"/>
      <c r="F89" s="320"/>
      <c r="G89" s="320"/>
      <c r="H89" s="320"/>
      <c r="I89" s="739"/>
      <c r="J89" s="739"/>
      <c r="K89" s="335"/>
    </row>
    <row r="90" spans="5:11" ht="12" customHeight="1">
      <c r="E90" s="320"/>
      <c r="F90" s="320"/>
      <c r="G90" s="320"/>
      <c r="H90" s="320"/>
      <c r="I90" s="739"/>
      <c r="J90" s="739"/>
      <c r="K90" s="335"/>
    </row>
    <row r="91" spans="5:11" ht="12" customHeight="1">
      <c r="E91" s="320"/>
      <c r="F91" s="320"/>
      <c r="G91" s="320"/>
      <c r="H91" s="320"/>
      <c r="I91" s="739"/>
      <c r="J91" s="739"/>
      <c r="K91" s="335"/>
    </row>
    <row r="92" spans="5:11" ht="12" customHeight="1">
      <c r="E92" s="320"/>
      <c r="F92" s="320"/>
      <c r="G92" s="320"/>
      <c r="H92" s="320"/>
      <c r="I92" s="739"/>
      <c r="J92" s="739"/>
      <c r="K92" s="335"/>
    </row>
    <row r="93" spans="5:11" ht="12" customHeight="1">
      <c r="E93" s="320"/>
      <c r="F93" s="320"/>
      <c r="G93" s="320"/>
      <c r="H93" s="320"/>
      <c r="I93" s="739"/>
      <c r="J93" s="739"/>
      <c r="K93" s="335"/>
    </row>
    <row r="94" spans="5:11" ht="12" customHeight="1">
      <c r="E94" s="320"/>
      <c r="F94" s="320"/>
      <c r="G94" s="320"/>
      <c r="H94" s="320"/>
      <c r="I94" s="739"/>
      <c r="J94" s="739"/>
      <c r="K94" s="335"/>
    </row>
    <row r="95" spans="5:11" ht="12" customHeight="1">
      <c r="E95" s="320"/>
      <c r="F95" s="320"/>
      <c r="G95" s="320"/>
      <c r="H95" s="320"/>
      <c r="I95" s="739"/>
      <c r="J95" s="739"/>
      <c r="K95" s="335"/>
    </row>
    <row r="96" spans="5:11" ht="12" customHeight="1">
      <c r="E96" s="320"/>
      <c r="F96" s="320"/>
      <c r="G96" s="320"/>
      <c r="H96" s="320"/>
      <c r="I96" s="739"/>
      <c r="J96" s="739"/>
      <c r="K96" s="335"/>
    </row>
    <row r="97" spans="5:11" ht="12" customHeight="1">
      <c r="E97" s="320"/>
      <c r="F97" s="320"/>
      <c r="G97" s="320"/>
      <c r="H97" s="320"/>
      <c r="I97" s="739"/>
      <c r="J97" s="739"/>
      <c r="K97" s="335"/>
    </row>
    <row r="98" spans="5:11" ht="12" customHeight="1">
      <c r="E98" s="320"/>
      <c r="F98" s="320"/>
      <c r="G98" s="320"/>
      <c r="H98" s="320"/>
      <c r="I98" s="739"/>
      <c r="J98" s="739"/>
      <c r="K98" s="335"/>
    </row>
    <row r="99" spans="5:11" ht="12" customHeight="1">
      <c r="E99" s="320"/>
      <c r="F99" s="320"/>
      <c r="G99" s="320"/>
      <c r="H99" s="320"/>
      <c r="I99" s="739"/>
      <c r="J99" s="739"/>
      <c r="K99" s="335"/>
    </row>
    <row r="100" spans="5:11" ht="12" customHeight="1">
      <c r="E100" s="320"/>
      <c r="F100" s="320"/>
      <c r="G100" s="320"/>
      <c r="H100" s="320"/>
      <c r="I100" s="739"/>
      <c r="J100" s="739"/>
      <c r="K100" s="335"/>
    </row>
    <row r="101" spans="5:11" ht="12" customHeight="1">
      <c r="E101" s="320"/>
      <c r="F101" s="320"/>
      <c r="G101" s="320"/>
      <c r="H101" s="320"/>
      <c r="I101" s="739"/>
      <c r="J101" s="739"/>
      <c r="K101" s="335"/>
    </row>
    <row r="102" spans="5:11" ht="12" customHeight="1">
      <c r="E102" s="320"/>
      <c r="F102" s="320"/>
      <c r="G102" s="320"/>
      <c r="H102" s="320"/>
      <c r="I102" s="739"/>
      <c r="J102" s="739"/>
      <c r="K102" s="335"/>
    </row>
    <row r="103" spans="5:11" ht="12" customHeight="1">
      <c r="E103" s="320"/>
      <c r="F103" s="320"/>
      <c r="G103" s="320"/>
      <c r="H103" s="320"/>
      <c r="I103" s="739"/>
      <c r="J103" s="739"/>
      <c r="K103" s="335"/>
    </row>
    <row r="104" spans="5:11" ht="12" customHeight="1">
      <c r="E104" s="320"/>
      <c r="F104" s="320"/>
      <c r="G104" s="320"/>
      <c r="H104" s="320"/>
      <c r="I104" s="739"/>
      <c r="J104" s="739"/>
      <c r="K104" s="335"/>
    </row>
    <row r="105" spans="5:11" ht="12" customHeight="1">
      <c r="E105" s="320"/>
      <c r="F105" s="320"/>
      <c r="G105" s="320"/>
      <c r="H105" s="320"/>
      <c r="I105" s="739"/>
      <c r="J105" s="739"/>
      <c r="K105" s="335"/>
    </row>
    <row r="106" spans="5:11" ht="12" customHeight="1">
      <c r="E106" s="320"/>
      <c r="F106" s="320"/>
      <c r="G106" s="320"/>
      <c r="H106" s="320"/>
      <c r="I106" s="739"/>
      <c r="J106" s="739"/>
      <c r="K106" s="335"/>
    </row>
    <row r="107" spans="5:11" ht="12" customHeight="1">
      <c r="E107" s="320"/>
      <c r="F107" s="320"/>
      <c r="G107" s="320"/>
      <c r="H107" s="320"/>
      <c r="I107" s="739"/>
      <c r="J107" s="739"/>
      <c r="K107" s="335"/>
    </row>
    <row r="108" spans="5:11" ht="12" customHeight="1">
      <c r="E108" s="320"/>
      <c r="F108" s="320"/>
      <c r="G108" s="320"/>
      <c r="H108" s="320"/>
      <c r="I108" s="739"/>
      <c r="J108" s="739"/>
      <c r="K108" s="335"/>
    </row>
    <row r="109" spans="5:11" ht="12" customHeight="1">
      <c r="E109" s="320"/>
      <c r="F109" s="320"/>
      <c r="G109" s="320"/>
      <c r="H109" s="320"/>
      <c r="I109" s="739"/>
      <c r="J109" s="739"/>
      <c r="K109" s="335"/>
    </row>
    <row r="110" spans="5:11" ht="12" customHeight="1">
      <c r="E110" s="320"/>
      <c r="F110" s="320"/>
      <c r="G110" s="320"/>
      <c r="H110" s="320"/>
      <c r="I110" s="739"/>
      <c r="J110" s="739"/>
      <c r="K110" s="335"/>
    </row>
    <row r="111" spans="5:11" ht="12" customHeight="1">
      <c r="E111" s="320"/>
      <c r="F111" s="320"/>
      <c r="G111" s="320"/>
      <c r="H111" s="320"/>
      <c r="I111" s="739"/>
      <c r="J111" s="739"/>
      <c r="K111" s="335"/>
    </row>
    <row r="112" spans="5:11" ht="12" customHeight="1">
      <c r="E112" s="320"/>
      <c r="F112" s="320"/>
      <c r="G112" s="320"/>
      <c r="H112" s="320"/>
      <c r="I112" s="739"/>
      <c r="J112" s="739"/>
      <c r="K112" s="335"/>
    </row>
    <row r="113" spans="5:11" ht="12" customHeight="1">
      <c r="E113" s="320"/>
      <c r="F113" s="320"/>
      <c r="G113" s="320"/>
      <c r="H113" s="320"/>
      <c r="I113" s="739"/>
      <c r="J113" s="739"/>
      <c r="K113" s="335"/>
    </row>
    <row r="114" spans="5:11" ht="12" customHeight="1">
      <c r="E114" s="320"/>
      <c r="F114" s="320"/>
      <c r="G114" s="320"/>
      <c r="H114" s="320"/>
      <c r="I114" s="739"/>
      <c r="J114" s="739"/>
      <c r="K114" s="335"/>
    </row>
    <row r="115" spans="5:11" ht="12" customHeight="1">
      <c r="E115" s="320"/>
      <c r="F115" s="320"/>
      <c r="G115" s="320"/>
      <c r="H115" s="320"/>
      <c r="I115" s="739"/>
      <c r="J115" s="739"/>
      <c r="K115" s="335"/>
    </row>
    <row r="116" spans="5:11" ht="12" customHeight="1">
      <c r="E116" s="320"/>
      <c r="F116" s="320"/>
      <c r="G116" s="320"/>
      <c r="H116" s="320"/>
      <c r="I116" s="739"/>
      <c r="J116" s="739"/>
      <c r="K116" s="335"/>
    </row>
    <row r="117" spans="5:11" ht="12" customHeight="1">
      <c r="E117" s="320"/>
      <c r="F117" s="320"/>
      <c r="G117" s="320"/>
      <c r="H117" s="320"/>
      <c r="I117" s="739"/>
      <c r="J117" s="739"/>
      <c r="K117" s="335"/>
    </row>
    <row r="118" spans="5:11" ht="12" customHeight="1">
      <c r="E118" s="320"/>
      <c r="F118" s="320"/>
      <c r="G118" s="320"/>
      <c r="H118" s="320"/>
      <c r="I118" s="739"/>
      <c r="J118" s="739"/>
      <c r="K118" s="335"/>
    </row>
    <row r="119" spans="5:11" ht="12" customHeight="1">
      <c r="E119" s="320"/>
      <c r="F119" s="320"/>
      <c r="G119" s="320"/>
      <c r="H119" s="320"/>
      <c r="I119" s="739"/>
      <c r="J119" s="739"/>
      <c r="K119" s="335"/>
    </row>
    <row r="120" spans="5:11" ht="12" customHeight="1">
      <c r="E120" s="320"/>
      <c r="F120" s="320"/>
      <c r="G120" s="320"/>
      <c r="H120" s="320"/>
      <c r="I120" s="739"/>
      <c r="J120" s="739"/>
      <c r="K120" s="335"/>
    </row>
    <row r="121" spans="5:11" ht="12" customHeight="1">
      <c r="E121" s="320"/>
      <c r="F121" s="320"/>
      <c r="G121" s="320"/>
      <c r="H121" s="320"/>
      <c r="I121" s="739"/>
      <c r="J121" s="739"/>
      <c r="K121" s="335"/>
    </row>
    <row r="122" spans="5:11" ht="12" customHeight="1">
      <c r="E122" s="320"/>
      <c r="F122" s="320"/>
      <c r="G122" s="320"/>
      <c r="H122" s="320"/>
      <c r="I122" s="739"/>
      <c r="J122" s="739"/>
      <c r="K122" s="335"/>
    </row>
    <row r="123" spans="5:11" ht="12" customHeight="1">
      <c r="E123" s="320"/>
      <c r="F123" s="320"/>
      <c r="G123" s="320"/>
      <c r="H123" s="320"/>
      <c r="I123" s="739"/>
      <c r="J123" s="739"/>
      <c r="K123" s="335"/>
    </row>
    <row r="124" spans="5:11" ht="12" customHeight="1">
      <c r="E124" s="320"/>
      <c r="F124" s="320"/>
      <c r="G124" s="320"/>
      <c r="H124" s="320"/>
      <c r="I124" s="739"/>
      <c r="J124" s="739"/>
      <c r="K124" s="335"/>
    </row>
    <row r="125" spans="5:11" ht="12" customHeight="1">
      <c r="E125" s="320"/>
      <c r="F125" s="320"/>
      <c r="G125" s="320"/>
      <c r="H125" s="320"/>
      <c r="I125" s="739"/>
      <c r="J125" s="739"/>
      <c r="K125" s="335"/>
    </row>
    <row r="126" spans="5:11" ht="12" customHeight="1">
      <c r="E126" s="320"/>
      <c r="F126" s="320"/>
      <c r="G126" s="320"/>
      <c r="H126" s="320"/>
      <c r="I126" s="739"/>
      <c r="J126" s="739"/>
      <c r="K126" s="335"/>
    </row>
    <row r="127" spans="5:11" ht="12" customHeight="1">
      <c r="H127" s="320"/>
    </row>
  </sheetData>
  <mergeCells count="4">
    <mergeCell ref="A9:J9"/>
    <mergeCell ref="A12:J12"/>
    <mergeCell ref="A15:J15"/>
    <mergeCell ref="A18:J18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91" fitToHeight="3" orientation="landscape" r:id="rId1"/>
  <headerFooter alignWithMargins="0"/>
  <ignoredErrors>
    <ignoredError sqref="A16:A17 I9:J9 C16:G17 A9:G15 I3:J3 I4:J8 I12:J12 I10:J10 I11:J11 I15:J15 I13:J13 I14:J14 I17:J17 I16:J16 K15 K12 K9 K3:K8 K10:K11 K13:K14 K16:K17" unlockedFormula="1"/>
  </ignoredErrors>
  <legacy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indexed="10"/>
    <pageSetUpPr fitToPage="1"/>
  </sheetPr>
  <dimension ref="A1:AA13"/>
  <sheetViews>
    <sheetView view="pageBreakPreview" zoomScale="85" zoomScaleNormal="55" zoomScaleSheetLayoutView="70" workbookViewId="0">
      <selection activeCell="E22" sqref="E22"/>
    </sheetView>
  </sheetViews>
  <sheetFormatPr defaultRowHeight="15.95" customHeight="1"/>
  <cols>
    <col min="1" max="1" width="4.21875" style="179" customWidth="1"/>
    <col min="2" max="2" width="21.5546875" style="179" customWidth="1"/>
    <col min="3" max="3" width="28" style="179" customWidth="1"/>
    <col min="4" max="4" width="14.21875" style="179" customWidth="1"/>
    <col min="5" max="5" width="13.44140625" style="179" customWidth="1"/>
    <col min="6" max="6" width="10.21875" style="179" bestFit="1" customWidth="1"/>
    <col min="7" max="8" width="5.6640625" style="179" bestFit="1" customWidth="1"/>
    <col min="9" max="9" width="8.21875" style="179" customWidth="1"/>
    <col min="10" max="10" width="8.6640625" style="179" customWidth="1"/>
    <col min="11" max="11" width="6.5546875" style="179" customWidth="1"/>
    <col min="12" max="12" width="6.44140625" style="179" customWidth="1"/>
    <col min="13" max="17" width="5.6640625" style="179" bestFit="1" customWidth="1"/>
    <col min="18" max="18" width="5.77734375" style="179" customWidth="1"/>
    <col min="19" max="19" width="5.6640625" style="179" bestFit="1" customWidth="1"/>
    <col min="20" max="20" width="5.5546875" style="179" customWidth="1"/>
    <col min="21" max="22" width="7.88671875" style="179" customWidth="1"/>
    <col min="23" max="23" width="9.109375" style="179" customWidth="1"/>
    <col min="24" max="24" width="8.33203125" style="179" customWidth="1"/>
    <col min="25" max="25" width="7.88671875" style="394" customWidth="1"/>
    <col min="26" max="26" width="6.33203125" style="179" bestFit="1" customWidth="1"/>
    <col min="27" max="27" width="8.77734375" style="179" customWidth="1"/>
    <col min="28" max="28" width="6.33203125" style="179" bestFit="1" customWidth="1"/>
    <col min="29" max="29" width="8.5546875" style="179" customWidth="1"/>
    <col min="30" max="30" width="7.5546875" style="179" bestFit="1" customWidth="1"/>
    <col min="31" max="31" width="6" style="179" customWidth="1"/>
    <col min="32" max="32" width="9.44140625" style="179" customWidth="1"/>
    <col min="33" max="33" width="4" style="179" customWidth="1"/>
    <col min="34" max="34" width="7.77734375" style="179" customWidth="1"/>
    <col min="35" max="16384" width="8.88671875" style="179"/>
  </cols>
  <sheetData>
    <row r="1" spans="1:27" s="351" customFormat="1" ht="18.75" customHeight="1">
      <c r="A1" s="350" t="s">
        <v>192</v>
      </c>
      <c r="Y1" s="352"/>
    </row>
    <row r="2" spans="1:27" s="181" customFormat="1" ht="8.25" customHeight="1">
      <c r="A2" s="653"/>
      <c r="Y2" s="794"/>
    </row>
    <row r="3" spans="1:27" s="181" customFormat="1" ht="18.75" customHeight="1">
      <c r="B3" s="1258" t="s">
        <v>628</v>
      </c>
      <c r="C3" s="1265" t="s">
        <v>44</v>
      </c>
      <c r="D3" s="1269" t="s">
        <v>55</v>
      </c>
      <c r="E3" s="1267" t="s">
        <v>403</v>
      </c>
      <c r="F3" s="1267" t="s">
        <v>193</v>
      </c>
    </row>
    <row r="4" spans="1:27" s="181" customFormat="1" ht="18.75" customHeight="1">
      <c r="B4" s="1259"/>
      <c r="C4" s="1266"/>
      <c r="D4" s="1270"/>
      <c r="E4" s="1268"/>
      <c r="F4" s="1268"/>
    </row>
    <row r="5" spans="1:27" s="181" customFormat="1" ht="30.75" customHeight="1">
      <c r="B5" s="1082" t="s">
        <v>629</v>
      </c>
      <c r="C5" s="795" t="str">
        <f>참여업체!C6</f>
        <v>㈜ㅁㅁ엔지니어링</v>
      </c>
      <c r="D5" s="796">
        <f>참여업체!$C$7</f>
        <v>0.5</v>
      </c>
      <c r="E5" s="797"/>
      <c r="F5" s="1262">
        <f>E5*D5+E6*D6+D7*E7</f>
        <v>0</v>
      </c>
      <c r="AA5" s="798"/>
    </row>
    <row r="6" spans="1:27" s="181" customFormat="1" ht="30.75" customHeight="1">
      <c r="B6" s="1260"/>
      <c r="C6" s="799" t="str">
        <f>참여업체!D6</f>
        <v>ㅇㅇ엔지니어링㈜</v>
      </c>
      <c r="D6" s="800">
        <f>참여업체!$D$7</f>
        <v>0.3</v>
      </c>
      <c r="E6" s="801"/>
      <c r="F6" s="1263"/>
      <c r="AA6" s="798"/>
    </row>
    <row r="7" spans="1:27" s="181" customFormat="1" ht="30.75" customHeight="1">
      <c r="B7" s="1261"/>
      <c r="C7" s="802" t="str">
        <f>참여업체!E6</f>
        <v>◇◇기술공사㈜</v>
      </c>
      <c r="D7" s="803">
        <f>참여업체!$E$7</f>
        <v>0.2</v>
      </c>
      <c r="E7" s="804"/>
      <c r="F7" s="1264"/>
      <c r="AA7" s="798"/>
    </row>
    <row r="8" spans="1:27" s="181" customFormat="1" ht="30.75" customHeight="1">
      <c r="B8" s="1082" t="s">
        <v>630</v>
      </c>
      <c r="C8" s="795">
        <f>참여업체!C9</f>
        <v>0</v>
      </c>
      <c r="D8" s="796">
        <f>참여업체!$C$7</f>
        <v>0.5</v>
      </c>
      <c r="E8" s="797"/>
      <c r="F8" s="1262">
        <f>E8*D8+E9*D9+D10*E10</f>
        <v>0</v>
      </c>
      <c r="AA8" s="798"/>
    </row>
    <row r="9" spans="1:27" s="181" customFormat="1" ht="30.75" customHeight="1">
      <c r="B9" s="1260"/>
      <c r="C9" s="799">
        <f>참여업체!D9</f>
        <v>0</v>
      </c>
      <c r="D9" s="800">
        <f>참여업체!$D$7</f>
        <v>0.3</v>
      </c>
      <c r="E9" s="801"/>
      <c r="F9" s="1263"/>
      <c r="AA9" s="798"/>
    </row>
    <row r="10" spans="1:27" s="181" customFormat="1" ht="30.75" customHeight="1">
      <c r="B10" s="1261"/>
      <c r="C10" s="802">
        <f>참여업체!E9</f>
        <v>0</v>
      </c>
      <c r="D10" s="803">
        <f>참여업체!$E$7</f>
        <v>0.2</v>
      </c>
      <c r="E10" s="804"/>
      <c r="F10" s="1264"/>
      <c r="AA10" s="798"/>
    </row>
    <row r="11" spans="1:27" ht="26.25" customHeight="1">
      <c r="B11" s="806" t="s">
        <v>424</v>
      </c>
      <c r="C11" s="805"/>
      <c r="D11" s="805"/>
      <c r="E11" s="805"/>
      <c r="F11" s="809">
        <f>SUM(F5:F10)</f>
        <v>0</v>
      </c>
    </row>
    <row r="12" spans="1:27" ht="15.95" customHeight="1">
      <c r="F12" s="807"/>
    </row>
    <row r="13" spans="1:27" ht="15.95" customHeight="1">
      <c r="F13" s="808"/>
    </row>
  </sheetData>
  <mergeCells count="9">
    <mergeCell ref="B3:B4"/>
    <mergeCell ref="B5:B7"/>
    <mergeCell ref="B8:B10"/>
    <mergeCell ref="F8:F10"/>
    <mergeCell ref="F5:F7"/>
    <mergeCell ref="C3:C4"/>
    <mergeCell ref="E3:E4"/>
    <mergeCell ref="D3:D4"/>
    <mergeCell ref="F3:F4"/>
  </mergeCells>
  <phoneticPr fontId="2" type="noConversion"/>
  <pageMargins left="0.5" right="0.74803149606299213" top="0.78740157480314965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2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이름이 지정된 범위</vt:lpstr>
      </vt:variant>
      <vt:variant>
        <vt:i4>32</vt:i4>
      </vt:variant>
    </vt:vector>
  </HeadingPairs>
  <TitlesOfParts>
    <vt:vector size="58" baseType="lpstr">
      <vt:lpstr>작성요령</vt:lpstr>
      <vt:lpstr>참여업체</vt:lpstr>
      <vt:lpstr>배점기준</vt:lpstr>
      <vt:lpstr>종합평가표</vt:lpstr>
      <vt:lpstr>평가자</vt:lpstr>
      <vt:lpstr>총괄경력</vt:lpstr>
      <vt:lpstr>분야별책임경력</vt:lpstr>
      <vt:lpstr>분야별경력</vt:lpstr>
      <vt:lpstr>총괄실적</vt:lpstr>
      <vt:lpstr>분야별책임실적</vt:lpstr>
      <vt:lpstr>분야별실적</vt:lpstr>
      <vt:lpstr>업무여유도</vt:lpstr>
      <vt:lpstr>교육훈련</vt:lpstr>
      <vt:lpstr>과업의이해도</vt:lpstr>
      <vt:lpstr>환경평가업체</vt:lpstr>
      <vt:lpstr>업체수행실적</vt:lpstr>
      <vt:lpstr>신용도</vt:lpstr>
      <vt:lpstr>부실벌점</vt:lpstr>
      <vt:lpstr>기술투자</vt:lpstr>
      <vt:lpstr>개발(주관)</vt:lpstr>
      <vt:lpstr>개발(협력)</vt:lpstr>
      <vt:lpstr>개발(협력2)</vt:lpstr>
      <vt:lpstr>활용(주관)</vt:lpstr>
      <vt:lpstr>활용(협력)</vt:lpstr>
      <vt:lpstr>활용(협력2)</vt:lpstr>
      <vt:lpstr>가감점</vt:lpstr>
      <vt:lpstr>가감점!Print_Area</vt:lpstr>
      <vt:lpstr>'개발(주관)'!Print_Area</vt:lpstr>
      <vt:lpstr>'개발(협력)'!Print_Area</vt:lpstr>
      <vt:lpstr>'개발(협력2)'!Print_Area</vt:lpstr>
      <vt:lpstr>교육훈련!Print_Area</vt:lpstr>
      <vt:lpstr>기술투자!Print_Area</vt:lpstr>
      <vt:lpstr>배점기준!Print_Area</vt:lpstr>
      <vt:lpstr>부실벌점!Print_Area</vt:lpstr>
      <vt:lpstr>분야별경력!Print_Area</vt:lpstr>
      <vt:lpstr>분야별실적!Print_Area</vt:lpstr>
      <vt:lpstr>분야별책임경력!Print_Area</vt:lpstr>
      <vt:lpstr>분야별책임실적!Print_Area</vt:lpstr>
      <vt:lpstr>신용도!Print_Area</vt:lpstr>
      <vt:lpstr>업무여유도!Print_Area</vt:lpstr>
      <vt:lpstr>업체수행실적!Print_Area</vt:lpstr>
      <vt:lpstr>종합평가표!Print_Area</vt:lpstr>
      <vt:lpstr>참여업체!Print_Area</vt:lpstr>
      <vt:lpstr>총괄경력!Print_Area</vt:lpstr>
      <vt:lpstr>총괄실적!Print_Area</vt:lpstr>
      <vt:lpstr>평가자!Print_Area</vt:lpstr>
      <vt:lpstr>환경평가업체!Print_Area</vt:lpstr>
      <vt:lpstr>'활용(주관)'!Print_Area</vt:lpstr>
      <vt:lpstr>'활용(협력)'!Print_Area</vt:lpstr>
      <vt:lpstr>'활용(협력2)'!Print_Area</vt:lpstr>
      <vt:lpstr>'개발(주관)'!Print_Titles</vt:lpstr>
      <vt:lpstr>'개발(협력)'!Print_Titles</vt:lpstr>
      <vt:lpstr>'개발(협력2)'!Print_Titles</vt:lpstr>
      <vt:lpstr>업체수행실적!Print_Titles</vt:lpstr>
      <vt:lpstr>'활용(주관)'!Print_Titles</vt:lpstr>
      <vt:lpstr>'활용(협력)'!Print_Titles</vt:lpstr>
      <vt:lpstr>'활용(협력2)'!Print_Titles</vt:lpstr>
      <vt:lpstr>회사채</vt:lpstr>
    </vt:vector>
  </TitlesOfParts>
  <Company>대한주택공사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kwon</dc:creator>
  <cp:lastModifiedBy>LH</cp:lastModifiedBy>
  <cp:lastPrinted>2016-04-15T08:12:43Z</cp:lastPrinted>
  <dcterms:created xsi:type="dcterms:W3CDTF">2005-06-07T00:13:25Z</dcterms:created>
  <dcterms:modified xsi:type="dcterms:W3CDTF">2016-05-19T00:48:59Z</dcterms:modified>
</cp:coreProperties>
</file>